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0AA9C19C-53D1-4EC6-9BED-843218888AB8}" xr6:coauthVersionLast="47" xr6:coauthVersionMax="47" xr10:uidLastSave="{00000000-0000-0000-0000-000000000000}"/>
  <bookViews>
    <workbookView xWindow="22932" yWindow="-1392" windowWidth="23256" windowHeight="12456" xr2:uid="{00000000-000D-0000-FFFF-FFFF00000000}"/>
  </bookViews>
  <sheets>
    <sheet name="目次・索引" sheetId="6" r:id="rId1"/>
    <sheet name="2009年度以降の試験結果一覧" sheetId="4" r:id="rId2"/>
    <sheet name="2008年度以前の試験結果一覧" sheetId="5" r:id="rId3"/>
  </sheets>
  <definedNames>
    <definedName name="_xlnm._FilterDatabase" localSheetId="2" hidden="1">'2008年度以前の試験結果一覧'!$A$5:$AV$79</definedName>
    <definedName name="_xlnm._FilterDatabase" localSheetId="1" hidden="1">'2009年度以降の試験結果一覧'!$A$7:$AW$109</definedName>
    <definedName name="_xlnm._FilterDatabase" localSheetId="0" hidden="1">目次・索引!$B$3:$E$197</definedName>
    <definedName name="_xlnm.Print_Area" localSheetId="2">'2008年度以前の試験結果一覧'!$A$1:$AV$79</definedName>
    <definedName name="_xlnm.Print_Area" localSheetId="1">'2009年度以降の試験結果一覧'!$A$1:$AW$109</definedName>
    <definedName name="_xlnm.Print_Titles" localSheetId="2">'2008年度以前の試験結果一覧'!$1:$5</definedName>
    <definedName name="_xlnm.Print_Titles" localSheetId="1">'2009年度以降の試験結果一覧'!$1:$6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7" i="6" l="1"/>
  <c r="C118" i="6"/>
  <c r="C94" i="6"/>
  <c r="C79" i="6"/>
  <c r="C7" i="6"/>
  <c r="C11" i="6"/>
  <c r="C83" i="6"/>
  <c r="C82" i="6"/>
  <c r="C74" i="6"/>
  <c r="C60" i="6"/>
  <c r="C46" i="6"/>
  <c r="C24" i="6"/>
  <c r="C10" i="6"/>
  <c r="C126" i="6" l="1" a="1"/>
  <c r="C126" i="6" s="1"/>
  <c r="C71" i="6" a="1"/>
  <c r="C71" i="6" s="1"/>
  <c r="C33" i="6" a="1"/>
  <c r="C33" i="6" s="1"/>
  <c r="C32" i="6" a="1"/>
  <c r="C32" i="6" s="1"/>
  <c r="C9" i="6"/>
  <c r="C8" i="6"/>
  <c r="C19" i="6" a="1"/>
  <c r="C19" i="6" s="1"/>
  <c r="C59" i="6" l="1"/>
  <c r="C97" i="6"/>
  <c r="C98" i="6"/>
  <c r="C91" i="6"/>
  <c r="C56" i="6"/>
  <c r="C26" i="6" l="1" a="1"/>
  <c r="C26" i="6" s="1"/>
  <c r="C25" i="6" a="1"/>
  <c r="C25" i="6" s="1"/>
  <c r="C31" i="6" a="1"/>
  <c r="C31" i="6" s="1"/>
  <c r="C30" i="6" a="1"/>
  <c r="C30" i="6" s="1"/>
  <c r="C29" i="6" a="1"/>
  <c r="C29" i="6" s="1"/>
  <c r="C28" i="6" a="1"/>
  <c r="C28" i="6" s="1"/>
  <c r="C121" i="6"/>
  <c r="C129" i="6" l="1"/>
  <c r="C119" i="6"/>
  <c r="C120" i="6"/>
  <c r="C192" i="6"/>
  <c r="C191" i="6"/>
  <c r="C166" i="6"/>
  <c r="C167" i="6"/>
  <c r="C125" i="6" l="1"/>
  <c r="C124" i="6"/>
  <c r="C123" i="6"/>
  <c r="C122" i="6"/>
  <c r="C128" i="6"/>
  <c r="C127" i="6"/>
  <c r="C177" i="6"/>
  <c r="C178" i="6" a="1"/>
  <c r="C178" i="6" s="1"/>
  <c r="C103" i="6" a="1"/>
  <c r="C103" i="6" s="1"/>
  <c r="C102" i="6" a="1"/>
  <c r="C102" i="6" s="1"/>
  <c r="C93" i="6"/>
  <c r="C92" i="6" a="1"/>
  <c r="C92" i="6" s="1"/>
  <c r="C90" i="6" a="1"/>
  <c r="C90" i="6" s="1"/>
  <c r="C89" i="6" a="1"/>
  <c r="C89" i="6" s="1"/>
  <c r="C66" i="6"/>
  <c r="C54" i="6"/>
  <c r="C55" i="6"/>
  <c r="C53" i="6"/>
  <c r="C51" i="6"/>
  <c r="C132" i="6"/>
  <c r="C183" i="6"/>
  <c r="C187" i="6" l="1" a="1"/>
  <c r="C187" i="6" s="1"/>
  <c r="C154" i="6"/>
  <c r="C153" i="6"/>
  <c r="C161" i="6" l="1" a="1"/>
  <c r="C161" i="6" s="1"/>
  <c r="C159" i="6" a="1"/>
  <c r="C159" i="6" s="1"/>
  <c r="C156" i="6" a="1"/>
  <c r="C156" i="6" s="1"/>
  <c r="C141" i="6" a="1"/>
  <c r="C141" i="6" s="1"/>
  <c r="C135" i="6" a="1"/>
  <c r="C135" i="6" s="1"/>
  <c r="C76" i="6"/>
  <c r="C75" i="6"/>
  <c r="C23" i="6" a="1"/>
  <c r="C23" i="6" s="1"/>
  <c r="C5" i="6"/>
  <c r="C6" i="6"/>
  <c r="C15" i="6"/>
  <c r="C14" i="6"/>
  <c r="C13" i="6"/>
  <c r="C27" i="6" l="1" a="1"/>
  <c r="C27" i="6" s="1"/>
  <c r="C12" i="6"/>
  <c r="C85" i="6"/>
  <c r="C67" i="6"/>
  <c r="C193" i="6"/>
  <c r="C197" i="6"/>
  <c r="C194" i="6"/>
  <c r="C72" i="6"/>
  <c r="C61" i="6"/>
  <c r="C44" i="6"/>
  <c r="C181" i="6"/>
  <c r="C184" i="6"/>
  <c r="C64" i="6"/>
  <c r="C157" i="6"/>
  <c r="C160" i="6"/>
  <c r="C4" i="6"/>
  <c r="C73" i="6"/>
  <c r="C189" i="6"/>
  <c r="C163" i="6"/>
  <c r="C77" i="6"/>
  <c r="C176" i="6"/>
  <c r="C138" i="6"/>
  <c r="C116" i="6"/>
  <c r="C58" i="6"/>
  <c r="C164" i="6"/>
  <c r="C140" i="6"/>
  <c r="C115" i="6"/>
  <c r="C80" i="6"/>
  <c r="C78" i="6"/>
  <c r="C142" i="6"/>
  <c r="C16" i="6"/>
  <c r="C139" i="6"/>
  <c r="C172" i="6"/>
  <c r="C114" i="6"/>
  <c r="C104" i="6" a="1"/>
  <c r="C104" i="6" s="1"/>
  <c r="C162" i="6"/>
  <c r="C173" i="6"/>
  <c r="C165" i="6"/>
  <c r="C50" i="6"/>
  <c r="C52" i="6"/>
  <c r="C17" i="6"/>
  <c r="C81" i="6"/>
  <c r="C86" i="6"/>
  <c r="C131" i="6"/>
  <c r="C105" i="6"/>
  <c r="C171" i="6"/>
  <c r="C49" i="6"/>
  <c r="C136" i="6"/>
  <c r="C69" i="6"/>
  <c r="C185" i="6" a="1"/>
  <c r="C185" i="6" s="1"/>
  <c r="C168" i="6"/>
  <c r="C150" i="6"/>
  <c r="C190" i="6"/>
  <c r="C109" i="6"/>
  <c r="C170" i="6"/>
  <c r="C130" i="6"/>
  <c r="C40" i="6"/>
  <c r="C112" i="6"/>
  <c r="C186" i="6"/>
  <c r="C158" i="6"/>
  <c r="C155" i="6"/>
  <c r="C39" i="6"/>
  <c r="C48" i="6"/>
  <c r="C38" i="6"/>
  <c r="C107" i="6"/>
  <c r="C62" i="6"/>
  <c r="C152" i="6"/>
  <c r="C108" i="6"/>
  <c r="C18" i="6"/>
  <c r="C43" i="6"/>
  <c r="C63" i="6"/>
  <c r="C196" i="6"/>
  <c r="C195" i="6"/>
  <c r="C106" i="6"/>
  <c r="C180" i="6"/>
  <c r="C101" i="6"/>
  <c r="C147" i="6" a="1"/>
  <c r="C147" i="6" s="1"/>
  <c r="C148" i="6"/>
  <c r="C37" i="6"/>
  <c r="C57" i="6"/>
  <c r="C99" i="6"/>
  <c r="C146" i="6"/>
  <c r="C175" i="6"/>
  <c r="C111" i="6"/>
  <c r="C149" i="6"/>
  <c r="C179" i="6"/>
  <c r="C145" i="6"/>
  <c r="C137" i="6"/>
  <c r="C35" i="6"/>
  <c r="C22" i="6"/>
  <c r="C41" i="6"/>
  <c r="C36" i="6"/>
  <c r="C144" i="6"/>
  <c r="C174" i="6"/>
  <c r="C133" i="6"/>
  <c r="C21" i="6"/>
  <c r="C20" i="6"/>
  <c r="C65" i="6"/>
  <c r="C45" i="6"/>
  <c r="C134" i="6"/>
  <c r="C182" i="6"/>
  <c r="C70" i="6"/>
  <c r="C100" i="6"/>
  <c r="C143" i="6"/>
  <c r="C95" i="6" a="1"/>
  <c r="C95" i="6" s="1"/>
  <c r="C96" i="6"/>
  <c r="C34" i="6"/>
  <c r="C42" i="6"/>
  <c r="C47" i="6"/>
  <c r="C110" i="6"/>
  <c r="C113" i="6"/>
  <c r="C68" i="6"/>
  <c r="C151" i="6"/>
  <c r="C84" i="6"/>
  <c r="C188" i="6"/>
  <c r="C87" i="6"/>
  <c r="C169" i="6"/>
  <c r="C88" i="6"/>
  <c r="A1" i="5"/>
  <c r="A1" i="4"/>
</calcChain>
</file>

<file path=xl/sharedStrings.xml><?xml version="1.0" encoding="utf-8"?>
<sst xmlns="http://schemas.openxmlformats.org/spreadsheetml/2006/main" count="3712" uniqueCount="596">
  <si>
    <t>◎</t>
  </si>
  <si>
    <t>◎</t>
    <phoneticPr fontId="2"/>
  </si>
  <si>
    <t>○</t>
  </si>
  <si>
    <t>なし</t>
  </si>
  <si>
    <t>04</t>
    <phoneticPr fontId="2"/>
  </si>
  <si>
    <t>01</t>
    <phoneticPr fontId="2"/>
  </si>
  <si>
    <t>○</t>
    <phoneticPr fontId="2"/>
  </si>
  <si>
    <t>なし</t>
    <phoneticPr fontId="2"/>
  </si>
  <si>
    <t>－</t>
    <phoneticPr fontId="2"/>
  </si>
  <si>
    <t>05</t>
    <phoneticPr fontId="2"/>
  </si>
  <si>
    <t>計測範囲外</t>
    <rPh sb="0" eb="2">
      <t>ケイソク</t>
    </rPh>
    <rPh sb="2" eb="5">
      <t>ハンイガイ</t>
    </rPh>
    <phoneticPr fontId="2"/>
  </si>
  <si>
    <t>06</t>
    <phoneticPr fontId="2"/>
  </si>
  <si>
    <t>指定番号</t>
    <phoneticPr fontId="2"/>
  </si>
  <si>
    <t>頭部
移動量
（mm）</t>
    <phoneticPr fontId="2"/>
  </si>
  <si>
    <t>その他
の事象</t>
    <phoneticPr fontId="2"/>
  </si>
  <si>
    <t>評価</t>
    <phoneticPr fontId="2"/>
  </si>
  <si>
    <t>取付性</t>
    <phoneticPr fontId="2"/>
  </si>
  <si>
    <t>装着性</t>
    <phoneticPr fontId="2"/>
  </si>
  <si>
    <t>03</t>
    <phoneticPr fontId="2"/>
  </si>
  <si>
    <t>02</t>
    <phoneticPr fontId="2"/>
  </si>
  <si>
    <t>×</t>
    <phoneticPr fontId="2"/>
  </si>
  <si>
    <t>415-455</t>
    <phoneticPr fontId="2"/>
  </si>
  <si>
    <t>07</t>
    <phoneticPr fontId="2"/>
  </si>
  <si>
    <t>E4 04443638</t>
    <phoneticPr fontId="2"/>
  </si>
  <si>
    <t>なし</t>
    <phoneticPr fontId="2"/>
  </si>
  <si>
    <t>E4 04443701</t>
    <phoneticPr fontId="2"/>
  </si>
  <si>
    <t>E4 04443715</t>
    <phoneticPr fontId="2"/>
  </si>
  <si>
    <t>E4 04443710</t>
    <phoneticPr fontId="2"/>
  </si>
  <si>
    <t>E8 044400</t>
    <phoneticPr fontId="2"/>
  </si>
  <si>
    <t>E13 040063</t>
    <phoneticPr fontId="2"/>
  </si>
  <si>
    <t>E4 04443614</t>
    <phoneticPr fontId="2"/>
  </si>
  <si>
    <t>E13 040067</t>
    <phoneticPr fontId="2"/>
  </si>
  <si>
    <t>08</t>
    <phoneticPr fontId="2"/>
  </si>
  <si>
    <t>E4 04443517</t>
    <phoneticPr fontId="2"/>
  </si>
  <si>
    <t>E13 040068</t>
    <phoneticPr fontId="2"/>
  </si>
  <si>
    <t>E13 045025</t>
    <phoneticPr fontId="2"/>
  </si>
  <si>
    <t>E4 04443812</t>
    <phoneticPr fontId="2"/>
  </si>
  <si>
    <t>E1 03301179</t>
    <phoneticPr fontId="2"/>
  </si>
  <si>
    <t>09</t>
    <phoneticPr fontId="2"/>
  </si>
  <si>
    <t>乳児専用</t>
    <rPh sb="0" eb="2">
      <t>ニュウジ</t>
    </rPh>
    <rPh sb="2" eb="4">
      <t>センヨウ</t>
    </rPh>
    <phoneticPr fontId="2"/>
  </si>
  <si>
    <t>E1 04301146</t>
    <phoneticPr fontId="2"/>
  </si>
  <si>
    <t>E4 043840</t>
    <phoneticPr fontId="2"/>
  </si>
  <si>
    <t>E8 044399</t>
    <phoneticPr fontId="2"/>
  </si>
  <si>
    <t>E1 04301171</t>
    <phoneticPr fontId="2"/>
  </si>
  <si>
    <t>09</t>
    <phoneticPr fontId="2"/>
  </si>
  <si>
    <t>E4 04443842</t>
    <phoneticPr fontId="2"/>
  </si>
  <si>
    <t>E4 04443839</t>
    <phoneticPr fontId="2"/>
  </si>
  <si>
    <t>E43 44R040004</t>
    <phoneticPr fontId="2"/>
  </si>
  <si>
    <t>E13 045087</t>
    <phoneticPr fontId="2"/>
  </si>
  <si>
    <t>E43 44R040002</t>
    <phoneticPr fontId="2"/>
  </si>
  <si>
    <t>E11 040215</t>
    <phoneticPr fontId="2"/>
  </si>
  <si>
    <t>◎</t>
    <phoneticPr fontId="2"/>
  </si>
  <si>
    <t>E8 045981</t>
    <phoneticPr fontId="2"/>
  </si>
  <si>
    <t>E4 0444010</t>
    <phoneticPr fontId="2"/>
  </si>
  <si>
    <t>11</t>
    <phoneticPr fontId="2"/>
  </si>
  <si>
    <t>10</t>
    <phoneticPr fontId="2"/>
  </si>
  <si>
    <t>12</t>
    <phoneticPr fontId="2"/>
  </si>
  <si>
    <t>E11 040205</t>
    <phoneticPr fontId="2"/>
  </si>
  <si>
    <t>E4 04443909</t>
    <phoneticPr fontId="2"/>
  </si>
  <si>
    <t>E8 044159</t>
    <phoneticPr fontId="2"/>
  </si>
  <si>
    <t>E4 04443849</t>
    <phoneticPr fontId="2"/>
  </si>
  <si>
    <t>E4 04444103</t>
    <phoneticPr fontId="2"/>
  </si>
  <si>
    <t>E4 044203</t>
    <phoneticPr fontId="2"/>
  </si>
  <si>
    <t>E4 44044121
E4 44044122</t>
    <phoneticPr fontId="2"/>
  </si>
  <si>
    <t>E24 040059</t>
    <phoneticPr fontId="2"/>
  </si>
  <si>
    <t>E13 045086</t>
    <phoneticPr fontId="2"/>
  </si>
  <si>
    <t>E13 045116</t>
    <phoneticPr fontId="2"/>
  </si>
  <si>
    <t>13</t>
    <phoneticPr fontId="2"/>
  </si>
  <si>
    <t>E13 045069</t>
    <phoneticPr fontId="2"/>
  </si>
  <si>
    <t>E24 040056</t>
    <phoneticPr fontId="2"/>
  </si>
  <si>
    <t>E43 44R040005</t>
    <phoneticPr fontId="2"/>
  </si>
  <si>
    <t>E4 04443854</t>
    <phoneticPr fontId="2"/>
  </si>
  <si>
    <t>E4 044338</t>
    <phoneticPr fontId="2"/>
  </si>
  <si>
    <t>E13 045115</t>
    <phoneticPr fontId="2"/>
  </si>
  <si>
    <t>◎</t>
    <phoneticPr fontId="2"/>
  </si>
  <si>
    <t>14</t>
    <phoneticPr fontId="2"/>
  </si>
  <si>
    <t>E4 044348</t>
    <phoneticPr fontId="2"/>
  </si>
  <si>
    <t>E4 044436</t>
    <phoneticPr fontId="2"/>
  </si>
  <si>
    <t>E43 44R040010</t>
    <phoneticPr fontId="2"/>
  </si>
  <si>
    <t>E24 040105</t>
    <phoneticPr fontId="2"/>
  </si>
  <si>
    <t>E4 044238</t>
    <phoneticPr fontId="2"/>
  </si>
  <si>
    <t>E4 044350</t>
    <phoneticPr fontId="2"/>
  </si>
  <si>
    <t>E24 040093</t>
    <phoneticPr fontId="2"/>
  </si>
  <si>
    <t>E43 44R040009</t>
    <phoneticPr fontId="2"/>
  </si>
  <si>
    <t>E43 040012</t>
    <phoneticPr fontId="2"/>
  </si>
  <si>
    <t>E11 041606</t>
    <phoneticPr fontId="2"/>
  </si>
  <si>
    <t>E8 047665</t>
    <phoneticPr fontId="2"/>
  </si>
  <si>
    <t>◎</t>
    <phoneticPr fontId="2"/>
  </si>
  <si>
    <t>15</t>
    <phoneticPr fontId="2"/>
  </si>
  <si>
    <t>E11 041579</t>
    <phoneticPr fontId="2"/>
  </si>
  <si>
    <t>E4 044335</t>
    <phoneticPr fontId="2"/>
  </si>
  <si>
    <t>E13 045152</t>
    <phoneticPr fontId="2"/>
  </si>
  <si>
    <t>16</t>
    <phoneticPr fontId="2"/>
  </si>
  <si>
    <t>E43 44R040014</t>
    <phoneticPr fontId="2"/>
  </si>
  <si>
    <t>E13 045186</t>
    <phoneticPr fontId="2"/>
  </si>
  <si>
    <t>E11 44R041618</t>
    <phoneticPr fontId="2"/>
  </si>
  <si>
    <t>E43 44R040011</t>
    <phoneticPr fontId="2"/>
  </si>
  <si>
    <t>E1 04301313</t>
    <phoneticPr fontId="2"/>
  </si>
  <si>
    <t>E4 044550</t>
    <phoneticPr fontId="2"/>
  </si>
  <si>
    <t>E11 041614
E11 041615</t>
    <phoneticPr fontId="2"/>
  </si>
  <si>
    <t>17</t>
    <phoneticPr fontId="2"/>
  </si>
  <si>
    <t>E13 045191</t>
    <phoneticPr fontId="2"/>
  </si>
  <si>
    <t>E11 041504</t>
    <phoneticPr fontId="2"/>
  </si>
  <si>
    <t>E11 041502</t>
    <phoneticPr fontId="2"/>
  </si>
  <si>
    <t>E4 04443409</t>
    <phoneticPr fontId="2"/>
  </si>
  <si>
    <t>E13 045142</t>
    <phoneticPr fontId="2"/>
  </si>
  <si>
    <t>E11 041621</t>
    <phoneticPr fontId="2"/>
  </si>
  <si>
    <t>E24-44R-040201</t>
    <phoneticPr fontId="2"/>
  </si>
  <si>
    <t>18</t>
    <phoneticPr fontId="2"/>
  </si>
  <si>
    <t>E8 048064</t>
    <phoneticPr fontId="2"/>
  </si>
  <si>
    <t>E11-041649/041648</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</si>
  <si>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</si>
  <si>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</si>
  <si>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</si>
  <si>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</si>
  <si>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</si>
  <si>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</si>
  <si>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</si>
  <si>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</si>
  <si>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</si>
  <si>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</si>
  <si>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</si>
  <si>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</si>
  <si>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2009年度以降の結果表　（2008年度以前の結果は、「2008年度以前の試験結果一覧」シートをご覧ください。）</t>
    <rPh sb="4" eb="6">
      <t>ネンド</t>
    </rPh>
    <rPh sb="6" eb="8">
      <t>イコウ</t>
    </rPh>
    <rPh sb="9" eb="11">
      <t>ケッカ</t>
    </rPh>
    <rPh sb="11" eb="12">
      <t>ヒョウ</t>
    </rPh>
    <rPh sb="18" eb="20">
      <t>ネンド</t>
    </rPh>
    <rPh sb="20" eb="22">
      <t>イゼン</t>
    </rPh>
    <rPh sb="23" eb="25">
      <t>ケッカ</t>
    </rPh>
    <rPh sb="32" eb="34">
      <t>ネンド</t>
    </rPh>
    <rPh sb="34" eb="36">
      <t>イゼン</t>
    </rPh>
    <rPh sb="37" eb="39">
      <t>シケン</t>
    </rPh>
    <rPh sb="39" eb="41">
      <t>ケッカ</t>
    </rPh>
    <rPh sb="41" eb="43">
      <t>イチラン</t>
    </rPh>
    <rPh sb="49" eb="50">
      <t>ラン</t>
    </rPh>
    <phoneticPr fontId="2"/>
  </si>
  <si>
    <t>チャイルドシート試験結果一覧表（2009年度以降）</t>
    <rPh sb="20" eb="22">
      <t>ネンド</t>
    </rPh>
    <rPh sb="22" eb="24">
      <t>イコウ</t>
    </rPh>
    <phoneticPr fontId="2"/>
  </si>
  <si>
    <t>チャイルドシート試験結果一覧表（2008年度以前）</t>
    <rPh sb="20" eb="22">
      <t>ネンド</t>
    </rPh>
    <rPh sb="22" eb="24">
      <t>イゼン</t>
    </rPh>
    <phoneticPr fontId="2"/>
  </si>
  <si>
    <t>2008年度以前の結果表　（2009年度以降の結果は、「2009年度以降の試験結果一覧」シートをご覧ください。）</t>
    <rPh sb="4" eb="6">
      <t>ネンド</t>
    </rPh>
    <rPh sb="6" eb="8">
      <t>イゼン</t>
    </rPh>
    <rPh sb="9" eb="11">
      <t>ケッカ</t>
    </rPh>
    <rPh sb="11" eb="12">
      <t>ヒョウ</t>
    </rPh>
    <rPh sb="18" eb="20">
      <t>ネンド</t>
    </rPh>
    <rPh sb="20" eb="22">
      <t>イコウ</t>
    </rPh>
    <rPh sb="23" eb="25">
      <t>ケッカ</t>
    </rPh>
    <rPh sb="32" eb="34">
      <t>ネンド</t>
    </rPh>
    <rPh sb="34" eb="36">
      <t>イコウ</t>
    </rPh>
    <rPh sb="37" eb="39">
      <t>シケン</t>
    </rPh>
    <rPh sb="39" eb="41">
      <t>ケッカ</t>
    </rPh>
    <rPh sb="41" eb="43">
      <t>イチラン</t>
    </rPh>
    <rPh sb="49" eb="50">
      <t>ラン</t>
    </rPh>
    <phoneticPr fontId="2"/>
  </si>
  <si>
    <t>チャイルドシートアセスメント試験機種　目次・索引</t>
    <rPh sb="14" eb="16">
      <t>シケン</t>
    </rPh>
    <rPh sb="16" eb="18">
      <t>キシュ</t>
    </rPh>
    <rPh sb="19" eb="21">
      <t>モクジ</t>
    </rPh>
    <rPh sb="22" eb="24">
      <t>サクイン</t>
    </rPh>
    <phoneticPr fontId="13"/>
  </si>
  <si>
    <t>メーカー名等</t>
    <rPh sb="4" eb="5">
      <t>メイ</t>
    </rPh>
    <rPh sb="5" eb="6">
      <t>ナド</t>
    </rPh>
    <phoneticPr fontId="2"/>
  </si>
  <si>
    <t>マキシコシ</t>
    <phoneticPr fontId="2"/>
  </si>
  <si>
    <t>コンビ</t>
    <phoneticPr fontId="2"/>
  </si>
  <si>
    <t>レーマー</t>
    <phoneticPr fontId="2"/>
  </si>
  <si>
    <t>東海理化電機製作所</t>
    <rPh sb="0" eb="2">
      <t>トウカイ</t>
    </rPh>
    <rPh sb="2" eb="4">
      <t>リカ</t>
    </rPh>
    <rPh sb="4" eb="6">
      <t>デンキ</t>
    </rPh>
    <rPh sb="6" eb="9">
      <t>セイサクジョ</t>
    </rPh>
    <phoneticPr fontId="2"/>
  </si>
  <si>
    <t>カーメイト</t>
    <phoneticPr fontId="2"/>
  </si>
  <si>
    <t>日本育児</t>
    <rPh sb="0" eb="2">
      <t>ニホン</t>
    </rPh>
    <rPh sb="2" eb="4">
      <t>イクジ</t>
    </rPh>
    <phoneticPr fontId="2"/>
  </si>
  <si>
    <t>イーブンフロー</t>
    <phoneticPr fontId="2"/>
  </si>
  <si>
    <t>アップリカ</t>
    <phoneticPr fontId="2"/>
  </si>
  <si>
    <t>リーマン</t>
    <phoneticPr fontId="2"/>
  </si>
  <si>
    <t>タカタ</t>
    <phoneticPr fontId="2"/>
  </si>
  <si>
    <t>エムズジンテック</t>
    <phoneticPr fontId="2"/>
  </si>
  <si>
    <t>全国防災事業協業組合</t>
    <rPh sb="0" eb="2">
      <t>ゼンコク</t>
    </rPh>
    <rPh sb="2" eb="4">
      <t>ボウサイ</t>
    </rPh>
    <rPh sb="4" eb="6">
      <t>ジギョウ</t>
    </rPh>
    <rPh sb="6" eb="8">
      <t>キョウギョウ</t>
    </rPh>
    <rPh sb="8" eb="10">
      <t>クミアイ</t>
    </rPh>
    <phoneticPr fontId="2"/>
  </si>
  <si>
    <t>ミクニ</t>
    <phoneticPr fontId="2"/>
  </si>
  <si>
    <t>カトージ</t>
    <phoneticPr fontId="2"/>
  </si>
  <si>
    <t>用途</t>
    <rPh sb="0" eb="2">
      <t>ヨウト</t>
    </rPh>
    <phoneticPr fontId="2"/>
  </si>
  <si>
    <t>固定方式</t>
    <rPh sb="0" eb="2">
      <t>コテイ</t>
    </rPh>
    <rPh sb="2" eb="4">
      <t>ホウシキ</t>
    </rPh>
    <phoneticPr fontId="2"/>
  </si>
  <si>
    <t>ISO-FIX</t>
    <phoneticPr fontId="2"/>
  </si>
  <si>
    <t>幼児専用</t>
    <rPh sb="0" eb="2">
      <t>ヨウジ</t>
    </rPh>
    <rPh sb="2" eb="4">
      <t>センヨウ</t>
    </rPh>
    <phoneticPr fontId="2"/>
  </si>
  <si>
    <t>アップリカ</t>
    <phoneticPr fontId="2"/>
  </si>
  <si>
    <t>ISO-FIX</t>
    <phoneticPr fontId="2"/>
  </si>
  <si>
    <t>アップリカ</t>
    <phoneticPr fontId="2"/>
  </si>
  <si>
    <t>ISO-FIX</t>
    <phoneticPr fontId="2"/>
  </si>
  <si>
    <t>コンビ</t>
    <phoneticPr fontId="2"/>
  </si>
  <si>
    <t>ベルト</t>
    <phoneticPr fontId="2"/>
  </si>
  <si>
    <r>
      <t>乳児用</t>
    </r>
    <r>
      <rPr>
        <sz val="6"/>
        <rFont val="游ゴシック"/>
        <family val="3"/>
        <charset val="128"/>
      </rPr>
      <t>・</t>
    </r>
    <r>
      <rPr>
        <sz val="8.5"/>
        <rFont val="游ゴシック"/>
        <family val="3"/>
        <charset val="128"/>
      </rPr>
      <t>幼児用(兼用ﾀｲﾌﾟ)</t>
    </r>
    <rPh sb="0" eb="3">
      <t>ニュウジヨウ</t>
    </rPh>
    <rPh sb="4" eb="7">
      <t>ヨウジヨウ</t>
    </rPh>
    <rPh sb="8" eb="10">
      <t>ケンヨウ</t>
    </rPh>
    <phoneticPr fontId="2"/>
  </si>
  <si>
    <t>グレコ</t>
    <phoneticPr fontId="2"/>
  </si>
  <si>
    <t>レーマー</t>
    <phoneticPr fontId="2"/>
  </si>
  <si>
    <t>カーメイト</t>
    <phoneticPr fontId="2"/>
  </si>
  <si>
    <t>レカロ</t>
    <phoneticPr fontId="2"/>
  </si>
  <si>
    <t>レカロ</t>
    <phoneticPr fontId="2"/>
  </si>
  <si>
    <t>ピジョン</t>
    <phoneticPr fontId="2"/>
  </si>
  <si>
    <t>製品名</t>
    <rPh sb="0" eb="1">
      <t>セイ</t>
    </rPh>
    <rPh sb="1" eb="2">
      <t>ヒン</t>
    </rPh>
    <rPh sb="2" eb="3">
      <t>ナ</t>
    </rPh>
    <phoneticPr fontId="2"/>
  </si>
  <si>
    <t>タカタ</t>
    <phoneticPr fontId="2"/>
  </si>
  <si>
    <t>カーメイト</t>
    <phoneticPr fontId="2"/>
  </si>
  <si>
    <t>コンビ</t>
    <phoneticPr fontId="2"/>
  </si>
  <si>
    <t>リーマン</t>
    <phoneticPr fontId="2"/>
  </si>
  <si>
    <t>タカタ</t>
    <phoneticPr fontId="2"/>
  </si>
  <si>
    <t>ISO-FIX・ﾍﾞﾙﾄ兼用</t>
    <rPh sb="13" eb="14">
      <t>ケンヨウ</t>
    </rPh>
    <phoneticPr fontId="2"/>
  </si>
  <si>
    <t>ベルト</t>
    <phoneticPr fontId="2"/>
  </si>
  <si>
    <t>ピジョン</t>
    <phoneticPr fontId="2"/>
  </si>
  <si>
    <t>カトージ</t>
    <phoneticPr fontId="2"/>
  </si>
  <si>
    <t>シーエー産商</t>
    <rPh sb="4" eb="6">
      <t>サンショウ</t>
    </rPh>
    <phoneticPr fontId="2"/>
  </si>
  <si>
    <t>リーマン</t>
    <phoneticPr fontId="2"/>
  </si>
  <si>
    <t>アップリカ</t>
    <phoneticPr fontId="2"/>
  </si>
  <si>
    <t>アップリカ</t>
    <phoneticPr fontId="2"/>
  </si>
  <si>
    <t>カーメイト</t>
    <phoneticPr fontId="2"/>
  </si>
  <si>
    <t>E11 129R-030519</t>
    <phoneticPr fontId="2"/>
  </si>
  <si>
    <t>E13 129R-020001</t>
    <phoneticPr fontId="2"/>
  </si>
  <si>
    <t>E43-44R-040015</t>
    <phoneticPr fontId="2"/>
  </si>
  <si>
    <t>19</t>
    <phoneticPr fontId="2"/>
  </si>
  <si>
    <t>E8 04 9459</t>
    <phoneticPr fontId="2"/>
  </si>
  <si>
    <t>E044630</t>
    <phoneticPr fontId="2"/>
  </si>
  <si>
    <t>R129</t>
    <phoneticPr fontId="2"/>
  </si>
  <si>
    <t>E9*129R03/02*1023*02</t>
    <phoneticPr fontId="2"/>
  </si>
  <si>
    <t>20</t>
    <phoneticPr fontId="2"/>
  </si>
  <si>
    <t>E044724</t>
    <phoneticPr fontId="2"/>
  </si>
  <si>
    <t>E11 040250</t>
    <phoneticPr fontId="2"/>
  </si>
  <si>
    <t>ISO-FIX固定</t>
    <phoneticPr fontId="2"/>
  </si>
  <si>
    <t>カテゴリー</t>
    <phoneticPr fontId="2"/>
  </si>
  <si>
    <t>取付部等の破損</t>
    <phoneticPr fontId="2"/>
  </si>
  <si>
    <t>その他の事象</t>
    <phoneticPr fontId="2"/>
  </si>
  <si>
    <t>2000年1月施行国内基準</t>
    <rPh sb="4" eb="5">
      <t>ネン</t>
    </rPh>
    <rPh sb="6" eb="7">
      <t>ガツ</t>
    </rPh>
    <rPh sb="7" eb="9">
      <t>セコウ</t>
    </rPh>
    <rPh sb="9" eb="11">
      <t>コクナイ</t>
    </rPh>
    <rPh sb="11" eb="13">
      <t>キジュン</t>
    </rPh>
    <phoneticPr fontId="2"/>
  </si>
  <si>
    <r>
      <t xml:space="preserve">乳児用・幼児用
</t>
    </r>
    <r>
      <rPr>
        <sz val="7"/>
        <rFont val="ＭＳ Ｐゴシック"/>
        <family val="3"/>
        <charset val="128"/>
      </rPr>
      <t>（兼用タイプ）</t>
    </r>
    <phoneticPr fontId="2"/>
  </si>
  <si>
    <t>幼児専用</t>
    <rPh sb="2" eb="4">
      <t>センヨウ</t>
    </rPh>
    <phoneticPr fontId="2"/>
  </si>
  <si>
    <t>ベルト
固定</t>
    <rPh sb="4" eb="6">
      <t>コテイ</t>
    </rPh>
    <phoneticPr fontId="2"/>
  </si>
  <si>
    <t>自 C-2539</t>
    <rPh sb="0" eb="1">
      <t>ジ</t>
    </rPh>
    <phoneticPr fontId="2"/>
  </si>
  <si>
    <t>R44 03</t>
    <phoneticPr fontId="2"/>
  </si>
  <si>
    <t>特記事項</t>
    <rPh sb="0" eb="2">
      <t>トッキ</t>
    </rPh>
    <rPh sb="2" eb="4">
      <t>ジコウ</t>
    </rPh>
    <phoneticPr fontId="2"/>
  </si>
  <si>
    <t>※ ロックオフデバイスの破断があり、破断した破片がダミーに接触した。</t>
    <phoneticPr fontId="2"/>
  </si>
  <si>
    <t>なし（※）</t>
    <phoneticPr fontId="2"/>
  </si>
  <si>
    <t>※ 腹部を圧迫し、幼児の身体に傷害を与える恐れがあった。</t>
    <phoneticPr fontId="2"/>
  </si>
  <si>
    <r>
      <t xml:space="preserve">× </t>
    </r>
    <r>
      <rPr>
        <b/>
        <sz val="10"/>
        <color indexed="8"/>
        <rFont val="ＭＳ Ｐゴシック"/>
        <family val="3"/>
        <charset val="128"/>
      </rPr>
      <t>(※)</t>
    </r>
    <phoneticPr fontId="2"/>
  </si>
  <si>
    <t>○ ※</t>
    <phoneticPr fontId="2"/>
  </si>
  <si>
    <t>※ ハーネス通し穴周辺の亀裂</t>
    <phoneticPr fontId="2"/>
  </si>
  <si>
    <t>◎ ※</t>
    <phoneticPr fontId="2"/>
  </si>
  <si>
    <t>※ サポートレッグに変形が発生したが、それは衝撃吸収機構の作動によるものである。</t>
    <phoneticPr fontId="2"/>
  </si>
  <si>
    <r>
      <t xml:space="preserve">×
</t>
    </r>
    <r>
      <rPr>
        <b/>
        <sz val="9"/>
        <color indexed="8"/>
        <rFont val="ＭＳ Ｐゴシック"/>
        <family val="3"/>
        <charset val="128"/>
      </rPr>
      <t>(※1,2)</t>
    </r>
    <phoneticPr fontId="2"/>
  </si>
  <si>
    <t>2000年1月
施行国内基準</t>
    <phoneticPr fontId="2"/>
  </si>
  <si>
    <t>FMVSS No.213</t>
    <phoneticPr fontId="2"/>
  </si>
  <si>
    <t>※ 肩用パッドの破損が発生したが、それは衝撃吸収機構の作動によるものである。</t>
    <phoneticPr fontId="2"/>
  </si>
  <si>
    <t>◎ (※)</t>
    <phoneticPr fontId="2"/>
  </si>
  <si>
    <t>(※)</t>
    <phoneticPr fontId="2"/>
  </si>
  <si>
    <t>※ 骨盤拘束が弱く、腹部を圧迫しているが、それがシールドによってである。</t>
    <phoneticPr fontId="2"/>
  </si>
  <si>
    <t>× (※)</t>
    <phoneticPr fontId="2"/>
  </si>
  <si>
    <t>※ 幼児の身体に傷害を与える恐れのあるフレームの破損が発生した。</t>
    <phoneticPr fontId="2"/>
  </si>
  <si>
    <t>※1 シートベルトの切り裂きが発生した。
※2 背中部の強度保持板が破損した。
※3 腹部を圧迫し、幼児の身体に傷害を与える恐れがあった。</t>
    <phoneticPr fontId="2"/>
  </si>
  <si>
    <t>×
(※1,2)</t>
    <phoneticPr fontId="2"/>
  </si>
  <si>
    <t>※ 衝突試験時、体が飛び出すことを防ぐ拘束装置がダミー胸部と腹部に計測範囲を超える大きな変形を生じさせて、腹部への圧力について正確に計測できなかった。</t>
    <phoneticPr fontId="2"/>
  </si>
  <si>
    <t>計測範囲外の事象があったため、正しく評価できず（※)</t>
    <rPh sb="0" eb="2">
      <t>ケイソク</t>
    </rPh>
    <rPh sb="2" eb="5">
      <t>ハンイガイ</t>
    </rPh>
    <rPh sb="6" eb="8">
      <t>ジショウ</t>
    </rPh>
    <rPh sb="15" eb="16">
      <t>タダ</t>
    </rPh>
    <rPh sb="18" eb="20">
      <t>ヒョウカ</t>
    </rPh>
    <phoneticPr fontId="2"/>
  </si>
  <si>
    <t>※ 衝突試験時にダミーが大きく前屈し、面圧計がダミー腹部に挟まれる現象により大きな圧力が測定された。この圧力と拘束装置による腹部圧迫の圧力を明確に区分できず、腹部圧迫の程度を評価できないため、全体評価は行わないこととした。</t>
    <phoneticPr fontId="2"/>
  </si>
  <si>
    <t>インパクトシールドタイプであるため評価は行わない。(※1)</t>
    <rPh sb="17" eb="19">
      <t>ヒョウカ</t>
    </rPh>
    <rPh sb="20" eb="21">
      <t>オコナ</t>
    </rPh>
    <phoneticPr fontId="2"/>
  </si>
  <si>
    <t>※1 インパクトシールドタイプ（自動車のシートベルトにより、インパクトシールド（衝突試験時、子供の体が飛び出すことを防ぐ拘束装置）を介して、チャイルドシートと子供の体を一体的に拘束するタイプ）のチャイルドシートについては、インパクトシールドがダミー胸部や腹部に計測範囲を超える大きな変形を生じさせるため、腹部への圧力を正確に計測できないことがあり、腹部圧迫計測を開始した平成15年度以降の試験対象機種の前面衝突試験の総合的な評価を行っていない。平成19年度の試験結果についても、これらに加え、胸部の変形の評価方法及びインパクトシールドタイプの腹部への圧力の評価方法が確立していないことがあるため、評価を行わないこととした。
※2 ダミーの肋骨が最大まで変位した。(現在、胸部の評価方法は確立していない。）</t>
    <phoneticPr fontId="2"/>
  </si>
  <si>
    <t>(※2)</t>
    <phoneticPr fontId="2"/>
  </si>
  <si>
    <t>※ 骨盤拘束が弱く、腹部を圧迫しているが、それがパッド・ハーネスによってである。</t>
    <phoneticPr fontId="2"/>
  </si>
  <si>
    <t>※1 サポートレッグに変形が発生したが、それは衝撃吸収機構の作動によるものである。
※2 骨盤拘束が弱く、腹部を圧迫しているが、それがバックル・ハーネスによってである。</t>
    <phoneticPr fontId="2"/>
  </si>
  <si>
    <t>◎ (※1)</t>
    <phoneticPr fontId="2"/>
  </si>
  <si>
    <t>※ ベルトガイド周辺の樹脂カバーに割れが発生したが、それは衝撃吸収構造の作動によるものである。</t>
    <phoneticPr fontId="2"/>
  </si>
  <si>
    <t>○ (※)</t>
    <phoneticPr fontId="2"/>
  </si>
  <si>
    <r>
      <t xml:space="preserve">×
</t>
    </r>
    <r>
      <rPr>
        <b/>
        <sz val="11"/>
        <color indexed="8"/>
        <rFont val="ＭＳ Ｐゴシック"/>
        <family val="3"/>
        <charset val="128"/>
      </rPr>
      <t>(※3)</t>
    </r>
    <phoneticPr fontId="2"/>
  </si>
  <si>
    <r>
      <t>×</t>
    </r>
    <r>
      <rPr>
        <b/>
        <sz val="11"/>
        <color indexed="8"/>
        <rFont val="ＭＳ Ｐゴシック"/>
        <family val="3"/>
        <charset val="128"/>
      </rPr>
      <t>(※)</t>
    </r>
    <phoneticPr fontId="2"/>
  </si>
  <si>
    <t>※ 座席への固定方法は、2点固定または3点固定のどちらでも可能である。2点固定で試験を行った。</t>
    <phoneticPr fontId="2"/>
  </si>
  <si>
    <t>※1 チャイルドシートの腰ベルトが、取扱説明書の使用方法通りにはダミーの腰骨部位を充分におおう位置に装着できないものであったため、各項目の結果のみを記載し、全体の評価は行わないこととした。
※2 腰ベルト位置決めテープが破損したが、それは衝撃吸収機構の作動によるものである。</t>
    <phoneticPr fontId="2"/>
  </si>
  <si>
    <t>◎ (※2)</t>
    <phoneticPr fontId="2"/>
  </si>
  <si>
    <t>取扱説明書等</t>
    <phoneticPr fontId="2"/>
  </si>
  <si>
    <t>本体表示</t>
    <phoneticPr fontId="2"/>
  </si>
  <si>
    <t>本体機構</t>
    <phoneticPr fontId="2"/>
  </si>
  <si>
    <t>ベルト固定</t>
    <rPh sb="3" eb="5">
      <t>コテイ</t>
    </rPh>
    <phoneticPr fontId="2"/>
  </si>
  <si>
    <t>ISO-FIX固定</t>
    <rPh sb="7" eb="9">
      <t>コテイ</t>
    </rPh>
    <phoneticPr fontId="2"/>
  </si>
  <si>
    <t>※</t>
    <phoneticPr fontId="2"/>
  </si>
  <si>
    <t>THE S</t>
    <phoneticPr fontId="2"/>
  </si>
  <si>
    <t>コンビ(株)</t>
    <phoneticPr fontId="2"/>
  </si>
  <si>
    <t>クルリラ プラス 360°セーフティー</t>
    <phoneticPr fontId="2"/>
  </si>
  <si>
    <t>ニューウェルブランズ・ジャパン（同）</t>
    <rPh sb="16" eb="17">
      <t>ドウ</t>
    </rPh>
    <phoneticPr fontId="2"/>
  </si>
  <si>
    <t>クルリラ プロテクト</t>
    <phoneticPr fontId="2"/>
  </si>
  <si>
    <t>Joie・アーク360°</t>
    <phoneticPr fontId="2"/>
  </si>
  <si>
    <t>(株)カトージ</t>
    <rPh sb="0" eb="3">
      <t>カブ</t>
    </rPh>
    <phoneticPr fontId="2"/>
  </si>
  <si>
    <t>Child Guard1.0</t>
    <phoneticPr fontId="2"/>
  </si>
  <si>
    <t>エールべべ・クルット3i</t>
    <phoneticPr fontId="2"/>
  </si>
  <si>
    <t>iA01</t>
    <phoneticPr fontId="2"/>
  </si>
  <si>
    <t>takata04-ｉ fix WS</t>
    <phoneticPr fontId="2"/>
  </si>
  <si>
    <t>takata04-ｉ fix</t>
    <phoneticPr fontId="2"/>
  </si>
  <si>
    <t>エールベベ・パパット2</t>
    <phoneticPr fontId="2"/>
  </si>
  <si>
    <t>フォームフィット</t>
    <phoneticPr fontId="2"/>
  </si>
  <si>
    <t>ウィゴーロング</t>
    <phoneticPr fontId="2"/>
  </si>
  <si>
    <t>Oreille</t>
    <phoneticPr fontId="2"/>
  </si>
  <si>
    <t>Joie・バリアント</t>
    <phoneticPr fontId="2"/>
  </si>
  <si>
    <t>グレコ・マイルストーン</t>
    <phoneticPr fontId="2"/>
  </si>
  <si>
    <t>マムズキャリーレジェ</t>
    <phoneticPr fontId="2"/>
  </si>
  <si>
    <t>エールべべ・クルット4s</t>
    <phoneticPr fontId="2"/>
  </si>
  <si>
    <t>Cupio</t>
    <phoneticPr fontId="2"/>
  </si>
  <si>
    <t>ネディアップ</t>
    <phoneticPr fontId="2"/>
  </si>
  <si>
    <t>バンビーノ04</t>
    <phoneticPr fontId="2"/>
  </si>
  <si>
    <t>ネルーム</t>
    <phoneticPr fontId="2"/>
  </si>
  <si>
    <t>ママロン</t>
    <phoneticPr fontId="2"/>
  </si>
  <si>
    <t>カイナ</t>
    <phoneticPr fontId="2"/>
  </si>
  <si>
    <t>takata04-neo SF</t>
    <phoneticPr fontId="2"/>
  </si>
  <si>
    <t>グレコ・GT</t>
    <phoneticPr fontId="2"/>
  </si>
  <si>
    <t>takata04-smartfix basic</t>
    <phoneticPr fontId="2"/>
  </si>
  <si>
    <t>Joie・ステージズ</t>
    <phoneticPr fontId="2"/>
  </si>
  <si>
    <t>Joie・チルト</t>
    <phoneticPr fontId="2"/>
  </si>
  <si>
    <t>マルゴット</t>
    <phoneticPr fontId="2"/>
  </si>
  <si>
    <t>フラディア</t>
    <phoneticPr fontId="2"/>
  </si>
  <si>
    <t>takata04-pops</t>
    <phoneticPr fontId="2"/>
  </si>
  <si>
    <t>cuna</t>
    <phoneticPr fontId="2"/>
  </si>
  <si>
    <t>ピピデビュー</t>
    <phoneticPr fontId="2"/>
  </si>
  <si>
    <t>エールべべ・クルットＮＴ</t>
    <phoneticPr fontId="2"/>
  </si>
  <si>
    <t>takata04-smartfix</t>
    <phoneticPr fontId="2"/>
  </si>
  <si>
    <t>ラクティアターン</t>
    <phoneticPr fontId="2"/>
  </si>
  <si>
    <t>takata04-neo premium</t>
    <phoneticPr fontId="2"/>
  </si>
  <si>
    <t>パミオドゥーエ</t>
    <phoneticPr fontId="2"/>
  </si>
  <si>
    <t>Joie・ジュバ</t>
    <phoneticPr fontId="2"/>
  </si>
  <si>
    <t>マムズキャリーブライトⅡ</t>
    <phoneticPr fontId="2"/>
  </si>
  <si>
    <t>ベビーズシート</t>
    <phoneticPr fontId="2"/>
  </si>
  <si>
    <t>HGデニム・ハーネス</t>
    <phoneticPr fontId="2"/>
  </si>
  <si>
    <t>ベビーFUNハーネスネオ</t>
    <phoneticPr fontId="2"/>
  </si>
  <si>
    <t>Joie・エレベート</t>
    <phoneticPr fontId="2"/>
  </si>
  <si>
    <t>エアグルーヴ</t>
    <phoneticPr fontId="2"/>
  </si>
  <si>
    <t>Start J1</t>
    <phoneticPr fontId="2"/>
  </si>
  <si>
    <t>トラベルベストECプラス</t>
    <phoneticPr fontId="2"/>
  </si>
  <si>
    <t>ロングフィット</t>
    <phoneticPr fontId="2"/>
  </si>
  <si>
    <t>トラベルベストEC</t>
    <phoneticPr fontId="2"/>
  </si>
  <si>
    <t>ハイバックブースターEC</t>
    <phoneticPr fontId="2"/>
  </si>
  <si>
    <t>フィーカ</t>
    <phoneticPr fontId="2"/>
  </si>
  <si>
    <t>ジョイトリップ</t>
    <phoneticPr fontId="2"/>
  </si>
  <si>
    <t>ユーロハーネス</t>
    <phoneticPr fontId="2"/>
  </si>
  <si>
    <t>エールべべ・グローバ</t>
    <phoneticPr fontId="2"/>
  </si>
  <si>
    <t>Young Sport</t>
    <phoneticPr fontId="2"/>
  </si>
  <si>
    <t>タカタ(株)</t>
    <rPh sb="3" eb="6">
      <t>カブ</t>
    </rPh>
    <phoneticPr fontId="2"/>
  </si>
  <si>
    <t>(株)カーメイト</t>
    <rPh sb="0" eb="3">
      <t>カブ</t>
    </rPh>
    <phoneticPr fontId="2"/>
  </si>
  <si>
    <t>コンビ(株)</t>
    <rPh sb="3" eb="6">
      <t>カブ</t>
    </rPh>
    <phoneticPr fontId="2"/>
  </si>
  <si>
    <t>リーマン(株)</t>
    <rPh sb="4" eb="7">
      <t>カブ</t>
    </rPh>
    <phoneticPr fontId="2"/>
  </si>
  <si>
    <t>ニューウェルブランズ・ジャパン（同）</t>
    <phoneticPr fontId="2"/>
  </si>
  <si>
    <t>(株)カーメイト</t>
    <phoneticPr fontId="2"/>
  </si>
  <si>
    <t>アップリカ・チルドレンズプロダクツ(同)</t>
    <phoneticPr fontId="2"/>
  </si>
  <si>
    <t>アップリカ・チルドレンズプロダクツ(同)</t>
    <rPh sb="18" eb="19">
      <t>ドウ</t>
    </rPh>
    <phoneticPr fontId="2"/>
  </si>
  <si>
    <t>アップリカ・チルドレンズプロダクツ(株)</t>
    <rPh sb="17" eb="20">
      <t>カブ</t>
    </rPh>
    <phoneticPr fontId="2"/>
  </si>
  <si>
    <t>(株)シーエー産商</t>
    <rPh sb="0" eb="3">
      <t>カブ</t>
    </rPh>
    <rPh sb="7" eb="9">
      <t>サンショウ</t>
    </rPh>
    <phoneticPr fontId="2"/>
  </si>
  <si>
    <t>(株)コンビ</t>
    <phoneticPr fontId="2"/>
  </si>
  <si>
    <t>ピジョン(株)</t>
    <phoneticPr fontId="2"/>
  </si>
  <si>
    <t>(株)カトージ</t>
    <phoneticPr fontId="2"/>
  </si>
  <si>
    <t>アップリカ・チルドレンズプロダクツ(株)</t>
    <rPh sb="18" eb="19">
      <t>カブ</t>
    </rPh>
    <phoneticPr fontId="2"/>
  </si>
  <si>
    <t>(株)シーエー産商</t>
    <rPh sb="1" eb="2">
      <t>カブ</t>
    </rPh>
    <rPh sb="7" eb="9">
      <t>サンショウ</t>
    </rPh>
    <phoneticPr fontId="2"/>
  </si>
  <si>
    <t>(株)日本育児</t>
    <rPh sb="0" eb="3">
      <t>カブ</t>
    </rPh>
    <rPh sb="3" eb="5">
      <t>ニホン</t>
    </rPh>
    <rPh sb="5" eb="7">
      <t>イクジ</t>
    </rPh>
    <phoneticPr fontId="2"/>
  </si>
  <si>
    <t>(株)ピジョン</t>
    <rPh sb="0" eb="3">
      <t>カブ</t>
    </rPh>
    <phoneticPr fontId="2"/>
  </si>
  <si>
    <t>タカタ(株)</t>
    <phoneticPr fontId="2"/>
  </si>
  <si>
    <t>ピジョン(株)</t>
    <rPh sb="4" eb="7">
      <t>カブ</t>
    </rPh>
    <phoneticPr fontId="2"/>
  </si>
  <si>
    <t>VCJコーポレーション(株)</t>
    <phoneticPr fontId="2"/>
  </si>
  <si>
    <t>レカロチャイルドセーフティ(株)</t>
    <rPh sb="13" eb="16">
      <t>カブ</t>
    </rPh>
    <phoneticPr fontId="2"/>
  </si>
  <si>
    <t>(株)日本育児</t>
    <phoneticPr fontId="2"/>
  </si>
  <si>
    <t>アップリカ・チルドレンズプロダクツ(株)</t>
    <phoneticPr fontId="2"/>
  </si>
  <si>
    <t>レカロ(株)</t>
    <phoneticPr fontId="2"/>
  </si>
  <si>
    <t>通称名</t>
    <phoneticPr fontId="2"/>
  </si>
  <si>
    <t>メーカー名等</t>
    <phoneticPr fontId="2"/>
  </si>
  <si>
    <t>試験実施年度</t>
    <phoneticPr fontId="2"/>
  </si>
  <si>
    <t>適合基準</t>
    <phoneticPr fontId="2"/>
  </si>
  <si>
    <t>前面衝突試験
（乳児用[ベッド型]）</t>
    <rPh sb="8" eb="10">
      <t>ニュウジ</t>
    </rPh>
    <rPh sb="10" eb="11">
      <t>ヨウ</t>
    </rPh>
    <rPh sb="15" eb="16">
      <t>ガタ</t>
    </rPh>
    <phoneticPr fontId="2"/>
  </si>
  <si>
    <t>前面衝突試験
（乳児用）</t>
    <rPh sb="8" eb="11">
      <t>ニュウジヨウ</t>
    </rPh>
    <phoneticPr fontId="2"/>
  </si>
  <si>
    <t>前面衝突試験
（幼児用）</t>
    <rPh sb="8" eb="10">
      <t>ヨウジ</t>
    </rPh>
    <rPh sb="10" eb="11">
      <t>ヨウ</t>
    </rPh>
    <phoneticPr fontId="2"/>
  </si>
  <si>
    <t>シート
バック
の傾き
（°）</t>
    <phoneticPr fontId="2"/>
  </si>
  <si>
    <r>
      <t>ネルーム ISOFIX</t>
    </r>
    <r>
      <rPr>
        <b/>
        <sz val="10"/>
        <color indexed="8"/>
        <rFont val="ＭＳ Ｐゴシック"/>
        <family val="3"/>
        <charset val="128"/>
      </rPr>
      <t/>
    </r>
    <phoneticPr fontId="2"/>
  </si>
  <si>
    <r>
      <t>エールべべ・キュートフィックス</t>
    </r>
    <r>
      <rPr>
        <b/>
        <sz val="10"/>
        <color indexed="8"/>
        <rFont val="ＭＳ Ｐゴシック"/>
        <family val="3"/>
        <charset val="128"/>
      </rPr>
      <t/>
    </r>
    <phoneticPr fontId="2"/>
  </si>
  <si>
    <r>
      <t>ハイバックブースタールージュ</t>
    </r>
    <r>
      <rPr>
        <b/>
        <sz val="10"/>
        <color indexed="8"/>
        <rFont val="ＭＳ Ｐゴシック"/>
        <family val="3"/>
        <charset val="128"/>
      </rPr>
      <t/>
    </r>
    <phoneticPr fontId="2"/>
  </si>
  <si>
    <t>レーマー・ベビーセーフプレミアム</t>
    <phoneticPr fontId="2"/>
  </si>
  <si>
    <t>ハイバックブースターEC Ⅱ Air</t>
    <phoneticPr fontId="2"/>
  </si>
  <si>
    <t>エールべべ・スイングムーン</t>
    <phoneticPr fontId="2"/>
  </si>
  <si>
    <t>頭部
の
はみ
出し
（mm）</t>
    <phoneticPr fontId="2"/>
  </si>
  <si>
    <t>R44 04</t>
    <phoneticPr fontId="2"/>
  </si>
  <si>
    <t>優</t>
    <rPh sb="0" eb="1">
      <t>01ユウ</t>
    </rPh>
    <phoneticPr fontId="2"/>
  </si>
  <si>
    <t>良</t>
    <rPh sb="0" eb="1">
      <t>02リョウ</t>
    </rPh>
    <phoneticPr fontId="2"/>
  </si>
  <si>
    <t>普通</t>
  </si>
  <si>
    <t>普通</t>
    <rPh sb="0" eb="2">
      <t>03フツウ</t>
    </rPh>
    <phoneticPr fontId="2"/>
  </si>
  <si>
    <t>推奨
せず</t>
    <rPh sb="0" eb="2">
      <t>04スイショウ</t>
    </rPh>
    <phoneticPr fontId="2"/>
  </si>
  <si>
    <t>(注) 2015年より評価方法を変更したため結果を赤字としています。2014年までの結果と単純比較はできません。</t>
    <rPh sb="1" eb="2">
      <t>チュウ</t>
    </rPh>
    <rPh sb="8" eb="9">
      <t>ネン</t>
    </rPh>
    <rPh sb="11" eb="13">
      <t>ヒョウカ</t>
    </rPh>
    <rPh sb="13" eb="15">
      <t>ホウホウ</t>
    </rPh>
    <rPh sb="16" eb="18">
      <t>ヘンコウ</t>
    </rPh>
    <rPh sb="22" eb="24">
      <t>ケッカ</t>
    </rPh>
    <rPh sb="25" eb="27">
      <t>アカジ</t>
    </rPh>
    <rPh sb="38" eb="39">
      <t>ネン</t>
    </rPh>
    <rPh sb="42" eb="44">
      <t>ケッカ</t>
    </rPh>
    <rPh sb="45" eb="47">
      <t>タンジュン</t>
    </rPh>
    <rPh sb="47" eb="49">
      <t>ヒカク</t>
    </rPh>
    <phoneticPr fontId="2"/>
  </si>
  <si>
    <r>
      <t>使用性評価試験</t>
    </r>
    <r>
      <rPr>
        <vertAlign val="superscript"/>
        <sz val="12"/>
        <color indexed="8"/>
        <rFont val="ＭＳ Ｐゴシック"/>
        <family val="3"/>
        <charset val="128"/>
      </rPr>
      <t xml:space="preserve"> (注）</t>
    </r>
    <r>
      <rPr>
        <sz val="12"/>
        <color indexed="8"/>
        <rFont val="ＭＳ Ｐゴシック"/>
        <family val="3"/>
        <charset val="128"/>
      </rPr>
      <t xml:space="preserve">
（乳児用[ベッド型]）</t>
    </r>
    <rPh sb="9" eb="10">
      <t>チュウ</t>
    </rPh>
    <rPh sb="13" eb="16">
      <t>ニュウジヨウ</t>
    </rPh>
    <rPh sb="20" eb="21">
      <t>ガタ</t>
    </rPh>
    <phoneticPr fontId="2"/>
  </si>
  <si>
    <r>
      <t>使用性評価試験</t>
    </r>
    <r>
      <rPr>
        <vertAlign val="superscript"/>
        <sz val="12"/>
        <color indexed="8"/>
        <rFont val="ＭＳ Ｐゴシック"/>
        <family val="3"/>
        <charset val="128"/>
      </rPr>
      <t xml:space="preserve"> (注）</t>
    </r>
    <r>
      <rPr>
        <sz val="12"/>
        <color indexed="8"/>
        <rFont val="ＭＳ Ｐゴシック"/>
        <family val="3"/>
        <charset val="128"/>
      </rPr>
      <t xml:space="preserve">
（乳児用）</t>
    </r>
    <rPh sb="13" eb="16">
      <t>ニュウジヨウ</t>
    </rPh>
    <phoneticPr fontId="2"/>
  </si>
  <si>
    <r>
      <t>使用性評価試験</t>
    </r>
    <r>
      <rPr>
        <vertAlign val="superscript"/>
        <sz val="12"/>
        <color indexed="8"/>
        <rFont val="ＭＳ Ｐゴシック"/>
        <family val="3"/>
        <charset val="128"/>
      </rPr>
      <t xml:space="preserve"> (注）</t>
    </r>
    <r>
      <rPr>
        <sz val="12"/>
        <color indexed="8"/>
        <rFont val="ＭＳ Ｐゴシック"/>
        <family val="3"/>
        <charset val="128"/>
      </rPr>
      <t xml:space="preserve">
（幼児用）</t>
    </r>
    <rPh sb="13" eb="16">
      <t>ヨウジヨウ</t>
    </rPh>
    <phoneticPr fontId="2"/>
  </si>
  <si>
    <t>ISO-FIX／ベルト固定
(兼用タイプ)</t>
    <rPh sb="11" eb="13">
      <t>コテイ</t>
    </rPh>
    <phoneticPr fontId="2"/>
  </si>
  <si>
    <t>ISO-FIX固定（I-Base使用）</t>
    <rPh sb="7" eb="9">
      <t>コテイ</t>
    </rPh>
    <phoneticPr fontId="2"/>
  </si>
  <si>
    <t>ベッド
底面
の
傾き
（°）</t>
    <phoneticPr fontId="2"/>
  </si>
  <si>
    <t>ベルト固定
※1 ダミーの胸部が大きく変形した。
※2 腹部を圧迫し、幼児の身体に傷害を与えるおそれがあった。</t>
    <rPh sb="3" eb="5">
      <t>コテイ</t>
    </rPh>
    <rPh sb="13" eb="15">
      <t>キョウブ</t>
    </rPh>
    <rPh sb="16" eb="17">
      <t>オオ</t>
    </rPh>
    <rPh sb="19" eb="21">
      <t>ヘンケイ</t>
    </rPh>
    <rPh sb="28" eb="30">
      <t>フクブ</t>
    </rPh>
    <rPh sb="31" eb="33">
      <t>アッパク</t>
    </rPh>
    <rPh sb="35" eb="37">
      <t>ヨウジ</t>
    </rPh>
    <rPh sb="38" eb="40">
      <t>シンタイ</t>
    </rPh>
    <rPh sb="41" eb="43">
      <t>ショウガイ</t>
    </rPh>
    <rPh sb="44" eb="45">
      <t>アタ</t>
    </rPh>
    <phoneticPr fontId="2"/>
  </si>
  <si>
    <t>Joie・ジェム [ISO-FIX固定]</t>
    <rPh sb="17" eb="19">
      <t>コテイ</t>
    </rPh>
    <phoneticPr fontId="2"/>
  </si>
  <si>
    <t>Joie・ジェム [ベルト固定]</t>
    <phoneticPr fontId="2"/>
  </si>
  <si>
    <t>クルリラ [ISO-FIX固定]</t>
    <phoneticPr fontId="2"/>
  </si>
  <si>
    <t>クルリラ [ベルト固定]</t>
    <rPh sb="9" eb="11">
      <t>コテイ</t>
    </rPh>
    <phoneticPr fontId="2"/>
  </si>
  <si>
    <t>ISO-FIX固定
※ 試験車両に対応していないため未実施</t>
    <phoneticPr fontId="2"/>
  </si>
  <si>
    <t>ベルト固定</t>
    <phoneticPr fontId="2"/>
  </si>
  <si>
    <t>グレコ・G-FIX [ISO-FIX固定]</t>
    <rPh sb="18" eb="20">
      <t>コテイ</t>
    </rPh>
    <phoneticPr fontId="2"/>
  </si>
  <si>
    <t>グレコ・G-FIX [ベルト固定]</t>
    <rPh sb="14" eb="16">
      <t>コテイ</t>
    </rPh>
    <phoneticPr fontId="2"/>
  </si>
  <si>
    <t>ハーネスジュニアFIX-BR [ISO-FIX固定]</t>
    <rPh sb="23" eb="25">
      <t>コテイ</t>
    </rPh>
    <phoneticPr fontId="2"/>
  </si>
  <si>
    <t>ハーネスジュニアFIX-BR [ベルト固定]</t>
    <rPh sb="19" eb="21">
      <t>コテイ</t>
    </rPh>
    <phoneticPr fontId="2"/>
  </si>
  <si>
    <t>前面衝突試験（乳児用）</t>
    <phoneticPr fontId="2"/>
  </si>
  <si>
    <t>前面衝突試験（幼児用）</t>
    <phoneticPr fontId="2"/>
  </si>
  <si>
    <t>希望試験機種</t>
    <phoneticPr fontId="2"/>
  </si>
  <si>
    <t>※ 骨盤拘束が弱く、腹部を圧迫しているが、それがパッド・ハーネスによってである。
希望試験機種</t>
    <phoneticPr fontId="2"/>
  </si>
  <si>
    <t>※ 骨盤拘束が弱く、腹部を圧迫しているが、それがシールドによってである。
希望試験機種</t>
    <phoneticPr fontId="2"/>
  </si>
  <si>
    <t>※ 座席への固定方法は、2点固定または3点固定のどちらでも可能である。3点固定で試験を行った。
希望試験機種</t>
    <phoneticPr fontId="2"/>
  </si>
  <si>
    <t>2000年
1月施行
国内基準</t>
    <phoneticPr fontId="2"/>
  </si>
  <si>
    <t>(株)GMPインターナショナル</t>
    <phoneticPr fontId="2"/>
  </si>
  <si>
    <t>(株)ヤナセ</t>
    <phoneticPr fontId="2"/>
  </si>
  <si>
    <t>マキシコシ・カブリオフィックス</t>
    <phoneticPr fontId="2"/>
  </si>
  <si>
    <t>グッドキャリー</t>
    <phoneticPr fontId="2"/>
  </si>
  <si>
    <t>カブリオレ</t>
    <phoneticPr fontId="2"/>
  </si>
  <si>
    <t>オートベビープラス</t>
    <phoneticPr fontId="2"/>
  </si>
  <si>
    <t>レーマー・ベビーセーフプラス</t>
    <phoneticPr fontId="2"/>
  </si>
  <si>
    <t>PAOPAOベビーNS</t>
    <phoneticPr fontId="2"/>
  </si>
  <si>
    <t>(株)東海理化電機製作所</t>
    <phoneticPr fontId="2"/>
  </si>
  <si>
    <t>エールベベ・プレコット</t>
    <phoneticPr fontId="2"/>
  </si>
  <si>
    <t>マキシコシベビー</t>
    <phoneticPr fontId="2"/>
  </si>
  <si>
    <t>プリムベビー</t>
    <phoneticPr fontId="2"/>
  </si>
  <si>
    <t>(株)ウェスタンコーポレーション</t>
    <phoneticPr fontId="2"/>
  </si>
  <si>
    <t>レーマー・ベビーセーフ</t>
    <phoneticPr fontId="2"/>
  </si>
  <si>
    <t>ディスカバリーベビーシート</t>
    <phoneticPr fontId="2"/>
  </si>
  <si>
    <t>トライスターインターナショナル(株)</t>
    <phoneticPr fontId="2"/>
  </si>
  <si>
    <t>マシュマロベッドグランデWサーモ７５０</t>
    <phoneticPr fontId="2"/>
  </si>
  <si>
    <t>ベッティーノSTD</t>
    <phoneticPr fontId="2"/>
  </si>
  <si>
    <t>コッコロUX</t>
    <phoneticPr fontId="2"/>
  </si>
  <si>
    <t>takata04-symphonyEC</t>
    <phoneticPr fontId="2"/>
  </si>
  <si>
    <t>セパラテ</t>
    <phoneticPr fontId="2"/>
  </si>
  <si>
    <t>コッコロ</t>
    <phoneticPr fontId="2"/>
  </si>
  <si>
    <t>すくすくターン</t>
    <phoneticPr fontId="2"/>
  </si>
  <si>
    <t>ユーロビギン</t>
    <phoneticPr fontId="2"/>
  </si>
  <si>
    <t>リーマン(株)</t>
    <phoneticPr fontId="2"/>
  </si>
  <si>
    <t>takata04-facil</t>
    <phoneticPr fontId="2"/>
  </si>
  <si>
    <t>ユーロフィックス　EC820</t>
    <phoneticPr fontId="2"/>
  </si>
  <si>
    <t>アップリカ葛西(株)</t>
    <rPh sb="5" eb="7">
      <t>カサイ</t>
    </rPh>
    <phoneticPr fontId="2"/>
  </si>
  <si>
    <t>エールベベ・ズット</t>
    <phoneticPr fontId="2"/>
  </si>
  <si>
    <t>ニューボーンベッドイージーターン６００</t>
    <phoneticPr fontId="2"/>
  </si>
  <si>
    <t>アップリカ葛西(株)</t>
    <phoneticPr fontId="2"/>
  </si>
  <si>
    <t>ニューボーンベッドイージーターンWエアーサーモ１０００</t>
    <phoneticPr fontId="2"/>
  </si>
  <si>
    <t>takata04-comfyN</t>
    <phoneticPr fontId="2"/>
  </si>
  <si>
    <t>takata04-system3.0</t>
    <phoneticPr fontId="2"/>
  </si>
  <si>
    <t>パミオウーノ</t>
    <phoneticPr fontId="2"/>
  </si>
  <si>
    <t>マシュマロJターンネオサーモ</t>
    <phoneticPr fontId="2"/>
  </si>
  <si>
    <t>マシュマロベッドWサーモ</t>
    <phoneticPr fontId="2"/>
  </si>
  <si>
    <t>レカロスタートゼロプラス</t>
    <phoneticPr fontId="2"/>
  </si>
  <si>
    <t>ニューボーンベッドワイド＆ロング</t>
    <phoneticPr fontId="2"/>
  </si>
  <si>
    <t>マシュマロJターンサーモ</t>
    <phoneticPr fontId="2"/>
  </si>
  <si>
    <t>カーメイト(株)/レカロ(株)</t>
    <phoneticPr fontId="2"/>
  </si>
  <si>
    <t>(株)日本育児</t>
    <rPh sb="3" eb="5">
      <t>ニホン</t>
    </rPh>
    <rPh sb="5" eb="7">
      <t>イクジ</t>
    </rPh>
    <phoneticPr fontId="2"/>
  </si>
  <si>
    <t>エムズジンティック(株)</t>
    <phoneticPr fontId="2"/>
  </si>
  <si>
    <t>全国防災事業協業組合</t>
    <rPh sb="0" eb="2">
      <t>ゼンコク</t>
    </rPh>
    <rPh sb="2" eb="4">
      <t>ボウサイ</t>
    </rPh>
    <phoneticPr fontId="2"/>
  </si>
  <si>
    <t>(株)ミクニ</t>
    <phoneticPr fontId="2"/>
  </si>
  <si>
    <t xml:space="preserve">takata04-neo </t>
    <phoneticPr fontId="2"/>
  </si>
  <si>
    <t>トヨタG-Child plus</t>
    <phoneticPr fontId="2"/>
  </si>
  <si>
    <t>ピピデビューN</t>
    <phoneticPr fontId="2"/>
  </si>
  <si>
    <t>ミリブ6000</t>
    <phoneticPr fontId="2"/>
  </si>
  <si>
    <t>プリムロング</t>
    <phoneticPr fontId="2"/>
  </si>
  <si>
    <t>パミオデビューDX</t>
    <phoneticPr fontId="2"/>
  </si>
  <si>
    <t>ミリブ3500</t>
    <phoneticPr fontId="2"/>
  </si>
  <si>
    <t>ゼウスターンEG</t>
    <phoneticPr fontId="2"/>
  </si>
  <si>
    <t>エールベベ・くるっとEX</t>
    <phoneticPr fontId="2"/>
  </si>
  <si>
    <t>マシュマロＪフィックスサーモ</t>
    <phoneticPr fontId="2"/>
  </si>
  <si>
    <t>ミリブ4000EX</t>
    <phoneticPr fontId="2"/>
  </si>
  <si>
    <t>ミリブ4000</t>
    <phoneticPr fontId="2"/>
  </si>
  <si>
    <t>ネオシスファースト2.5S</t>
    <phoneticPr fontId="2"/>
  </si>
  <si>
    <t>ハーネスフィットロング</t>
    <phoneticPr fontId="2"/>
  </si>
  <si>
    <t>RECARO　Start R1</t>
    <phoneticPr fontId="2"/>
  </si>
  <si>
    <t>エールベベ・サラット３ステップⅡ/RECARO Start α1</t>
    <phoneticPr fontId="2"/>
  </si>
  <si>
    <t>ユーロジュニア</t>
    <phoneticPr fontId="2"/>
  </si>
  <si>
    <t>チャイルド＆ジュニアシートムービングサポート</t>
    <phoneticPr fontId="2"/>
  </si>
  <si>
    <t>プリオリXP</t>
    <phoneticPr fontId="2"/>
  </si>
  <si>
    <t>NEWトラベルベスト</t>
    <phoneticPr fontId="2"/>
  </si>
  <si>
    <t xml:space="preserve">エールベベ・さらっと３ステップ </t>
    <phoneticPr fontId="2"/>
  </si>
  <si>
    <t xml:space="preserve">ブオンキッズEG </t>
    <phoneticPr fontId="2"/>
  </si>
  <si>
    <t xml:space="preserve">マシュマロエアーインパクトⅡ </t>
    <phoneticPr fontId="2"/>
  </si>
  <si>
    <t>パワーベスト</t>
    <phoneticPr fontId="2"/>
  </si>
  <si>
    <t xml:space="preserve">マシュマロジュニアエアー8 サポート/インパクトシールド </t>
    <phoneticPr fontId="2"/>
  </si>
  <si>
    <t>トラベルベスト</t>
    <phoneticPr fontId="2"/>
  </si>
  <si>
    <t>ハイバックブースター</t>
    <phoneticPr fontId="2"/>
  </si>
  <si>
    <t>レーマーキングＴＳプラス</t>
    <phoneticPr fontId="2"/>
  </si>
  <si>
    <t>マキシコシチャイルド</t>
    <phoneticPr fontId="2"/>
  </si>
  <si>
    <t>マシュマロフィッツV シールド</t>
    <phoneticPr fontId="2"/>
  </si>
  <si>
    <t>ハイパーベスト</t>
    <phoneticPr fontId="2"/>
  </si>
  <si>
    <t>ファンキッズ</t>
    <phoneticPr fontId="2"/>
  </si>
  <si>
    <t>プリムキッズ</t>
    <phoneticPr fontId="2"/>
  </si>
  <si>
    <t>レーマー・ロード</t>
    <phoneticPr fontId="2"/>
  </si>
  <si>
    <t>PAOPAO チャイルドフォービー</t>
    <phoneticPr fontId="2"/>
  </si>
  <si>
    <t>ピジョンコンコルドフィックスマックス</t>
    <phoneticPr fontId="2"/>
  </si>
  <si>
    <t>レーマー・キング</t>
    <phoneticPr fontId="2"/>
  </si>
  <si>
    <t>エールべべ・プレシールド</t>
    <phoneticPr fontId="2"/>
  </si>
  <si>
    <r>
      <t>ピピデビューフィットシェル</t>
    </r>
    <r>
      <rPr>
        <b/>
        <sz val="10.5"/>
        <color indexed="8"/>
        <rFont val="ＭＳ Ｐゴシック"/>
        <family val="3"/>
        <charset val="128"/>
      </rPr>
      <t/>
    </r>
    <phoneticPr fontId="2"/>
  </si>
  <si>
    <t>自C-1007,自C-157</t>
    <rPh sb="0" eb="1">
      <t>ジ</t>
    </rPh>
    <rPh sb="8" eb="9">
      <t>ジ</t>
    </rPh>
    <phoneticPr fontId="2"/>
  </si>
  <si>
    <t>自C-1017,自C-153</t>
    <rPh sb="0" eb="1">
      <t>ジ</t>
    </rPh>
    <rPh sb="8" eb="9">
      <t>ジ</t>
    </rPh>
    <phoneticPr fontId="2"/>
  </si>
  <si>
    <t>自C-1010,自C-146</t>
    <rPh sb="0" eb="1">
      <t>ジ</t>
    </rPh>
    <rPh sb="8" eb="9">
      <t>ジ</t>
    </rPh>
    <phoneticPr fontId="2"/>
  </si>
  <si>
    <t>自C-2537</t>
    <rPh sb="0" eb="1">
      <t>ジ</t>
    </rPh>
    <phoneticPr fontId="2"/>
  </si>
  <si>
    <t>自C-2530</t>
    <rPh sb="0" eb="1">
      <t>ジ</t>
    </rPh>
    <phoneticPr fontId="2"/>
  </si>
  <si>
    <t>自C-2529</t>
    <rPh sb="0" eb="1">
      <t>ジ</t>
    </rPh>
    <phoneticPr fontId="2"/>
  </si>
  <si>
    <t>自C-2616</t>
    <rPh sb="0" eb="1">
      <t>ジ</t>
    </rPh>
    <phoneticPr fontId="2"/>
  </si>
  <si>
    <t>自C-2517</t>
    <rPh sb="0" eb="1">
      <t>ジ</t>
    </rPh>
    <phoneticPr fontId="2"/>
  </si>
  <si>
    <t>自C-2518</t>
    <rPh sb="0" eb="1">
      <t>ジ</t>
    </rPh>
    <phoneticPr fontId="2"/>
  </si>
  <si>
    <t>自C-2522</t>
    <rPh sb="0" eb="1">
      <t>ジ</t>
    </rPh>
    <phoneticPr fontId="2"/>
  </si>
  <si>
    <t>自C-2029</t>
    <rPh sb="0" eb="1">
      <t>ジ</t>
    </rPh>
    <phoneticPr fontId="2"/>
  </si>
  <si>
    <t>自C-2060</t>
    <rPh sb="0" eb="1">
      <t>ジ</t>
    </rPh>
    <phoneticPr fontId="2"/>
  </si>
  <si>
    <t>自C-2508</t>
    <rPh sb="0" eb="1">
      <t>ジ</t>
    </rPh>
    <phoneticPr fontId="2"/>
  </si>
  <si>
    <t>自C-2509</t>
    <rPh sb="0" eb="1">
      <t>ジ</t>
    </rPh>
    <phoneticPr fontId="2"/>
  </si>
  <si>
    <t>自C-2512</t>
    <rPh sb="0" eb="1">
      <t>ジ</t>
    </rPh>
    <phoneticPr fontId="2"/>
  </si>
  <si>
    <t>自C-2038</t>
    <rPh sb="0" eb="1">
      <t>ジ</t>
    </rPh>
    <phoneticPr fontId="2"/>
  </si>
  <si>
    <t>自C-2046</t>
    <rPh sb="0" eb="1">
      <t>ジ</t>
    </rPh>
    <phoneticPr fontId="2"/>
  </si>
  <si>
    <t>自C-2047</t>
    <rPh sb="0" eb="1">
      <t>ジ</t>
    </rPh>
    <phoneticPr fontId="2"/>
  </si>
  <si>
    <t>自C-2054</t>
    <rPh sb="0" eb="1">
      <t>ジ</t>
    </rPh>
    <phoneticPr fontId="2"/>
  </si>
  <si>
    <t>自C-2023</t>
    <rPh sb="0" eb="1">
      <t>ジ</t>
    </rPh>
    <phoneticPr fontId="2"/>
  </si>
  <si>
    <t>自C-2030</t>
    <rPh sb="0" eb="1">
      <t>ジ</t>
    </rPh>
    <phoneticPr fontId="2"/>
  </si>
  <si>
    <t>自C-2039</t>
    <rPh sb="0" eb="1">
      <t>ジ</t>
    </rPh>
    <phoneticPr fontId="2"/>
  </si>
  <si>
    <t>自C-1002,自C-158</t>
    <rPh sb="0" eb="1">
      <t>ジ</t>
    </rPh>
    <rPh sb="8" eb="9">
      <t>ジ</t>
    </rPh>
    <phoneticPr fontId="2"/>
  </si>
  <si>
    <t>自C-1002,自C-159</t>
    <rPh sb="0" eb="1">
      <t>ジ</t>
    </rPh>
    <rPh sb="8" eb="9">
      <t>ジ</t>
    </rPh>
    <phoneticPr fontId="2"/>
  </si>
  <si>
    <t>自C-2011</t>
    <rPh sb="0" eb="1">
      <t>ジ</t>
    </rPh>
    <phoneticPr fontId="2"/>
  </si>
  <si>
    <t>自C-2001</t>
    <rPh sb="0" eb="1">
      <t>ジ</t>
    </rPh>
    <phoneticPr fontId="2"/>
  </si>
  <si>
    <t>自C-1001,自C-101</t>
    <rPh sb="0" eb="1">
      <t>ジ</t>
    </rPh>
    <rPh sb="8" eb="9">
      <t>ジ</t>
    </rPh>
    <phoneticPr fontId="2"/>
  </si>
  <si>
    <t>自C-1001,自C-100</t>
    <rPh sb="0" eb="1">
      <t>ジ</t>
    </rPh>
    <rPh sb="8" eb="9">
      <t>ジ</t>
    </rPh>
    <phoneticPr fontId="2"/>
  </si>
  <si>
    <t>自C-1013,自C-155</t>
    <rPh sb="0" eb="1">
      <t>ジ</t>
    </rPh>
    <rPh sb="8" eb="9">
      <t>ジ</t>
    </rPh>
    <phoneticPr fontId="2"/>
  </si>
  <si>
    <t>自C-1014,自C-156</t>
    <rPh sb="0" eb="1">
      <t>ジ</t>
    </rPh>
    <rPh sb="8" eb="9">
      <t>ジ</t>
    </rPh>
    <phoneticPr fontId="2"/>
  </si>
  <si>
    <t>自C-2505</t>
    <rPh sb="0" eb="1">
      <t>ジ</t>
    </rPh>
    <phoneticPr fontId="2"/>
  </si>
  <si>
    <t>自C-2519</t>
    <rPh sb="0" eb="1">
      <t>ジ</t>
    </rPh>
    <phoneticPr fontId="2"/>
  </si>
  <si>
    <t>自C-2055</t>
    <rPh sb="0" eb="1">
      <t>ジ</t>
    </rPh>
    <phoneticPr fontId="2"/>
  </si>
  <si>
    <t>自C-2064</t>
    <rPh sb="0" eb="1">
      <t>ジ</t>
    </rPh>
    <phoneticPr fontId="2"/>
  </si>
  <si>
    <t>自C-2502</t>
    <rPh sb="0" eb="1">
      <t>ジ</t>
    </rPh>
    <phoneticPr fontId="2"/>
  </si>
  <si>
    <t>自C-2026</t>
    <rPh sb="0" eb="1">
      <t>ジ</t>
    </rPh>
    <phoneticPr fontId="2"/>
  </si>
  <si>
    <t>自C-2048</t>
    <rPh sb="0" eb="1">
      <t>ジ</t>
    </rPh>
    <phoneticPr fontId="2"/>
  </si>
  <si>
    <t>自C-2020</t>
    <rPh sb="0" eb="1">
      <t>ジ</t>
    </rPh>
    <phoneticPr fontId="2"/>
  </si>
  <si>
    <t>自C-2014</t>
    <rPh sb="0" eb="1">
      <t>ジ</t>
    </rPh>
    <phoneticPr fontId="2"/>
  </si>
  <si>
    <t>自C-1006,自C-174</t>
    <rPh sb="0" eb="1">
      <t>ジ</t>
    </rPh>
    <rPh sb="8" eb="9">
      <t>ジ</t>
    </rPh>
    <phoneticPr fontId="2"/>
  </si>
  <si>
    <t>自C-1011,自C-147</t>
    <rPh sb="0" eb="1">
      <t>ジ</t>
    </rPh>
    <rPh sb="8" eb="9">
      <t>ジ</t>
    </rPh>
    <phoneticPr fontId="2"/>
  </si>
  <si>
    <r>
      <t>使用性評価試験</t>
    </r>
    <r>
      <rPr>
        <sz val="12"/>
        <color indexed="8"/>
        <rFont val="ＭＳ Ｐゴシック"/>
        <family val="3"/>
        <charset val="128"/>
      </rPr>
      <t xml:space="preserve">
（乳児用[ベッド型]）</t>
    </r>
    <rPh sb="9" eb="12">
      <t>ニュウジヨウ</t>
    </rPh>
    <rPh sb="16" eb="17">
      <t>ガタ</t>
    </rPh>
    <phoneticPr fontId="2"/>
  </si>
  <si>
    <r>
      <t>使用性評価試験</t>
    </r>
    <r>
      <rPr>
        <sz val="12"/>
        <color indexed="8"/>
        <rFont val="ＭＳ Ｐゴシック"/>
        <family val="3"/>
        <charset val="128"/>
      </rPr>
      <t xml:space="preserve">
（乳児用）</t>
    </r>
    <rPh sb="9" eb="12">
      <t>ニュウジヨウ</t>
    </rPh>
    <phoneticPr fontId="2"/>
  </si>
  <si>
    <r>
      <t>使用性評価試験</t>
    </r>
    <r>
      <rPr>
        <sz val="12"/>
        <color indexed="8"/>
        <rFont val="ＭＳ Ｐゴシック"/>
        <family val="3"/>
        <charset val="128"/>
      </rPr>
      <t xml:space="preserve">
（幼児用）</t>
    </r>
    <rPh sb="9" eb="12">
      <t>ヨウジヨウ</t>
    </rPh>
    <phoneticPr fontId="2"/>
  </si>
  <si>
    <t>シートバックの傾き
（°）</t>
    <phoneticPr fontId="2"/>
  </si>
  <si>
    <r>
      <t>胸部に
生じる力
（m/s</t>
    </r>
    <r>
      <rPr>
        <vertAlign val="superscript"/>
        <sz val="11"/>
        <rFont val="ＭＳ Ｐゴシック"/>
        <family val="3"/>
        <charset val="128"/>
      </rPr>
      <t>2</t>
    </r>
    <r>
      <rPr>
        <sz val="11"/>
        <rFont val="ＭＳ Ｐゴシック"/>
        <family val="3"/>
        <charset val="128"/>
      </rPr>
      <t>）</t>
    </r>
    <phoneticPr fontId="2"/>
  </si>
  <si>
    <r>
      <t>頭部に
生じる力
（m/s</t>
    </r>
    <r>
      <rPr>
        <vertAlign val="superscript"/>
        <sz val="11"/>
        <rFont val="ＭＳ Ｐゴシック"/>
        <family val="3"/>
        <charset val="128"/>
      </rPr>
      <t>2</t>
    </r>
    <r>
      <rPr>
        <sz val="11"/>
        <rFont val="ＭＳ Ｐゴシック"/>
        <family val="3"/>
        <charset val="128"/>
      </rPr>
      <t>）</t>
    </r>
    <phoneticPr fontId="2"/>
  </si>
  <si>
    <t>頭部のはみ出し
（mm）</t>
    <phoneticPr fontId="2"/>
  </si>
  <si>
    <t>計測範囲外の事象があったため、正しく評価できず（※)</t>
    <rPh sb="0" eb="2">
      <t>06ケイソク</t>
    </rPh>
    <rPh sb="2" eb="5">
      <t>ハンイガイ</t>
    </rPh>
    <rPh sb="6" eb="8">
      <t>ジショウ</t>
    </rPh>
    <rPh sb="15" eb="16">
      <t>タダ</t>
    </rPh>
    <rPh sb="18" eb="20">
      <t>ヒョウカ</t>
    </rPh>
    <phoneticPr fontId="2"/>
  </si>
  <si>
    <t>(※)</t>
    <rPh sb="0" eb="3">
      <t>07コメジルシ</t>
    </rPh>
    <phoneticPr fontId="2"/>
  </si>
  <si>
    <t>(※1)</t>
    <rPh sb="0" eb="4">
      <t>07コメジルシ１</t>
    </rPh>
    <phoneticPr fontId="2"/>
  </si>
  <si>
    <t>スーパーキャリー [3点固定]（※）</t>
    <rPh sb="11" eb="12">
      <t>テン</t>
    </rPh>
    <rPh sb="12" eb="14">
      <t>コテイ</t>
    </rPh>
    <phoneticPr fontId="2"/>
  </si>
  <si>
    <t>スーパーキャリー [2点固定]（※）</t>
    <rPh sb="11" eb="12">
      <t>テン</t>
    </rPh>
    <rPh sb="12" eb="14">
      <t>コテイ</t>
    </rPh>
    <phoneticPr fontId="2"/>
  </si>
  <si>
    <t>レジェ プラス</t>
    <phoneticPr fontId="2"/>
  </si>
  <si>
    <t>21</t>
    <phoneticPr fontId="2"/>
  </si>
  <si>
    <t>推奨せず</t>
    <rPh sb="0" eb="2">
      <t>スイショウ</t>
    </rPh>
    <phoneticPr fontId="2"/>
  </si>
  <si>
    <t>ハーネスジュニアISOFIX [ISO-FIX固定]</t>
    <rPh sb="23" eb="25">
      <t>コテイ</t>
    </rPh>
    <phoneticPr fontId="2"/>
  </si>
  <si>
    <t>ハーネスジュニアISOFIX [ベルト固定]</t>
    <rPh sb="19" eb="21">
      <t>コテイ</t>
    </rPh>
    <phoneticPr fontId="2"/>
  </si>
  <si>
    <t>ジュニアシート・ミニーマウス</t>
    <phoneticPr fontId="2"/>
  </si>
  <si>
    <t>アルツァーナジャパン(株)</t>
    <rPh sb="10" eb="13">
      <t>カブ</t>
    </rPh>
    <phoneticPr fontId="2"/>
  </si>
  <si>
    <t>J1 Duo [ISO-FIX固定]</t>
    <rPh sb="15" eb="17">
      <t>コテイ</t>
    </rPh>
    <phoneticPr fontId="2"/>
  </si>
  <si>
    <t>J1 Duo [ベルト固定]</t>
    <rPh sb="11" eb="13">
      <t>コテイ</t>
    </rPh>
    <phoneticPr fontId="2"/>
  </si>
  <si>
    <t>Oreille mou</t>
    <phoneticPr fontId="2"/>
  </si>
  <si>
    <t>E04 10572</t>
    <phoneticPr fontId="2"/>
  </si>
  <si>
    <t>E8 0411135</t>
    <phoneticPr fontId="2"/>
  </si>
  <si>
    <t>E040244</t>
    <phoneticPr fontId="2"/>
  </si>
  <si>
    <t>E040253</t>
    <phoneticPr fontId="2"/>
  </si>
  <si>
    <t>E24-040195</t>
    <phoneticPr fontId="2"/>
  </si>
  <si>
    <t>E24-040196</t>
    <phoneticPr fontId="2"/>
  </si>
  <si>
    <t>フラディア グロウ</t>
    <phoneticPr fontId="2"/>
  </si>
  <si>
    <t>フラディア グロウ ISOFIX</t>
    <phoneticPr fontId="2"/>
  </si>
  <si>
    <t>フラディア グロウ ISOFIX 360°セーフティー</t>
    <phoneticPr fontId="2"/>
  </si>
  <si>
    <t>フォームフィット ISOFIX 360°セーフティー</t>
    <phoneticPr fontId="2"/>
  </si>
  <si>
    <t>クルリラ ビッテ エックス</t>
    <phoneticPr fontId="2"/>
  </si>
  <si>
    <t>22</t>
    <phoneticPr fontId="2"/>
  </si>
  <si>
    <t>E11-129R-030556</t>
    <phoneticPr fontId="2"/>
  </si>
  <si>
    <t>E11-129R-030519</t>
    <phoneticPr fontId="2"/>
  </si>
  <si>
    <t>エールべべ・クルットR</t>
    <phoneticPr fontId="2"/>
  </si>
  <si>
    <t>E4-129R-030128</t>
    <phoneticPr fontId="2"/>
  </si>
  <si>
    <t>クルムーヴ アドバンス</t>
    <phoneticPr fontId="2"/>
  </si>
  <si>
    <t>E9*129R03/04*1036*00</t>
    <phoneticPr fontId="2"/>
  </si>
  <si>
    <t>E9*129R03/05*1039*00</t>
    <phoneticPr fontId="2"/>
  </si>
  <si>
    <t>ジョイトリップ アドバンス</t>
    <phoneticPr fontId="2"/>
  </si>
  <si>
    <t>23</t>
    <phoneticPr fontId="2"/>
  </si>
  <si>
    <t>フラディア プラス</t>
    <phoneticPr fontId="2"/>
  </si>
  <si>
    <t>E13 129R-030001</t>
    <phoneticPr fontId="2"/>
  </si>
  <si>
    <t>優</t>
    <rPh sb="0" eb="1">
      <t>ユウ</t>
    </rPh>
    <phoneticPr fontId="2"/>
  </si>
  <si>
    <t>良</t>
    <rPh sb="0" eb="1">
      <t>リョウ</t>
    </rPh>
    <phoneticPr fontId="2"/>
  </si>
  <si>
    <t>〇</t>
    <phoneticPr fontId="2"/>
  </si>
  <si>
    <t>E11 129R-030556</t>
    <phoneticPr fontId="2"/>
  </si>
  <si>
    <t>フラディア グロウ ISOFIX セーフティープラス AB</t>
    <phoneticPr fontId="2"/>
  </si>
  <si>
    <t>クルリラ ビッテ エックス AB</t>
    <phoneticPr fontId="2"/>
  </si>
  <si>
    <t>Joie・アイ・アーク360°</t>
    <phoneticPr fontId="2"/>
  </si>
  <si>
    <t>E11 030513</t>
    <phoneticPr fontId="2"/>
  </si>
  <si>
    <t>自動車製作者等の申し出による委託試験機種</t>
    <rPh sb="0" eb="3">
      <t>ジドウシャ</t>
    </rPh>
    <rPh sb="3" eb="6">
      <t>セイサクシャ</t>
    </rPh>
    <rPh sb="6" eb="7">
      <t>トウ</t>
    </rPh>
    <rPh sb="8" eb="9">
      <t>モウ</t>
    </rPh>
    <rPh sb="10" eb="11">
      <t>デ</t>
    </rPh>
    <rPh sb="14" eb="16">
      <t>イタク</t>
    </rPh>
    <rPh sb="16" eb="18">
      <t>シケン</t>
    </rPh>
    <rPh sb="18" eb="20">
      <t>キシュ</t>
    </rPh>
    <phoneticPr fontId="2"/>
  </si>
  <si>
    <t>ターンレジェネクストST</t>
    <phoneticPr fontId="2"/>
  </si>
  <si>
    <t>普通</t>
    <rPh sb="0" eb="2">
      <t>フツウ</t>
    </rPh>
    <phoneticPr fontId="2"/>
  </si>
  <si>
    <t>サイベックス・パラス G i-Size</t>
    <phoneticPr fontId="2"/>
  </si>
  <si>
    <t>CTP JAPAN(株)</t>
    <rPh sb="9" eb="12">
      <t>カブ</t>
    </rPh>
    <phoneticPr fontId="2"/>
  </si>
  <si>
    <t>E1 129R-030058</t>
    <phoneticPr fontId="2"/>
  </si>
  <si>
    <t>インパクトシールド式</t>
    <rPh sb="9" eb="10">
      <t>シキ</t>
    </rPh>
    <phoneticPr fontId="2"/>
  </si>
  <si>
    <t>サイベックス</t>
    <phoneticPr fontId="2"/>
  </si>
  <si>
    <t>R129-030570</t>
    <phoneticPr fontId="2"/>
  </si>
  <si>
    <t>Joie・ベビーシート アイ・スナグ2[ISO-FIX固定]</t>
    <rPh sb="27" eb="29">
      <t>コテイ</t>
    </rPh>
    <phoneticPr fontId="2"/>
  </si>
  <si>
    <t>24</t>
    <phoneticPr fontId="2"/>
  </si>
  <si>
    <t>Joie・ベビーシート アイ・スナグ2 [ベルト固定]</t>
    <phoneticPr fontId="2"/>
  </si>
  <si>
    <t>クルリラ ビッテ エックス プラス</t>
    <phoneticPr fontId="2"/>
  </si>
  <si>
    <t>24</t>
    <phoneticPr fontId="2"/>
  </si>
  <si>
    <t>R129</t>
    <phoneticPr fontId="2"/>
  </si>
  <si>
    <t>優</t>
    <rPh sb="0" eb="1">
      <t>ユウ</t>
    </rPh>
    <phoneticPr fontId="2"/>
  </si>
  <si>
    <t>◎</t>
    <phoneticPr fontId="2"/>
  </si>
  <si>
    <t>〇</t>
    <phoneticPr fontId="2"/>
  </si>
  <si>
    <t>なし</t>
    <phoneticPr fontId="2"/>
  </si>
  <si>
    <t>E4-129R-030299</t>
    <phoneticPr fontId="2"/>
  </si>
  <si>
    <t>(株)カーメイト</t>
    <rPh sb="0" eb="3">
      <t>カブ</t>
    </rPh>
    <phoneticPr fontId="2"/>
  </si>
  <si>
    <t>エールベベ・クルット スライド</t>
    <phoneticPr fontId="2"/>
  </si>
  <si>
    <t>良</t>
    <rPh sb="0" eb="1">
      <t>リョウ</t>
    </rPh>
    <phoneticPr fontId="2"/>
  </si>
  <si>
    <t>E11-129R-031005</t>
    <phoneticPr fontId="2"/>
  </si>
  <si>
    <t>フォームフィット ネクスト</t>
    <phoneticPr fontId="2"/>
  </si>
  <si>
    <t>リライド</t>
    <phoneticPr fontId="2"/>
  </si>
  <si>
    <t>E11-129R-030624</t>
    <phoneticPr fontId="2"/>
  </si>
  <si>
    <t>E11 030594</t>
    <phoneticPr fontId="2"/>
  </si>
  <si>
    <t>Joie・エレベートR129</t>
    <phoneticPr fontId="2"/>
  </si>
  <si>
    <t>ISO-FIX</t>
    <phoneticPr fontId="2"/>
  </si>
  <si>
    <t>乳児用・幼児用(兼用ﾀｲﾌﾟ)</t>
    <rPh sb="0" eb="3">
      <t>ニュウジヨウ</t>
    </rPh>
    <rPh sb="4" eb="7">
      <t>ヨウジヨウ</t>
    </rPh>
    <rPh sb="8" eb="10">
      <t>ケンヨウ</t>
    </rPh>
    <phoneticPr fontId="2"/>
  </si>
  <si>
    <t>E11-129R-030556</t>
    <phoneticPr fontId="2"/>
  </si>
  <si>
    <t>クルリラ ビッテ エックス プラス AB</t>
    <phoneticPr fontId="2"/>
  </si>
  <si>
    <t>ニューウェルブランズ・ジャパン（同）</t>
    <phoneticPr fontId="2"/>
  </si>
  <si>
    <t>25</t>
    <phoneticPr fontId="2"/>
  </si>
  <si>
    <t>R129</t>
    <phoneticPr fontId="2"/>
  </si>
  <si>
    <t>優</t>
    <rPh sb="0" eb="1">
      <t>ユウ</t>
    </rPh>
    <phoneticPr fontId="2"/>
  </si>
  <si>
    <t>◎</t>
    <phoneticPr fontId="2"/>
  </si>
  <si>
    <t>良</t>
    <rPh sb="0" eb="1">
      <t>リョウ</t>
    </rPh>
    <phoneticPr fontId="2"/>
  </si>
  <si>
    <t>〇</t>
    <phoneticPr fontId="2"/>
  </si>
  <si>
    <t>なし</t>
    <phoneticPr fontId="2"/>
  </si>
  <si>
    <t>クルリラ エックス プラス AB</t>
    <phoneticPr fontId="2"/>
  </si>
  <si>
    <t>E4-129R-030285</t>
    <phoneticPr fontId="2"/>
  </si>
  <si>
    <t>クルムーヴ ロング</t>
    <phoneticPr fontId="2"/>
  </si>
  <si>
    <t>コンビ(株)</t>
    <rPh sb="3" eb="6">
      <t>カブ</t>
    </rPh>
    <phoneticPr fontId="2"/>
  </si>
  <si>
    <t>幼児専用</t>
    <rPh sb="0" eb="4">
      <t>ヨウジセンヨウ</t>
    </rPh>
    <phoneticPr fontId="2"/>
  </si>
  <si>
    <t>E1 040058</t>
    <phoneticPr fontId="2"/>
  </si>
  <si>
    <t>サイベックス・パラス G2</t>
    <phoneticPr fontId="2"/>
  </si>
  <si>
    <t>Joie・ステディ R129</t>
    <phoneticPr fontId="2"/>
  </si>
  <si>
    <t>(株)カトージ</t>
    <rPh sb="0" eb="3">
      <t>カブ</t>
    </rPh>
    <phoneticPr fontId="2"/>
  </si>
  <si>
    <t>推奨
せず</t>
    <rPh sb="0" eb="2">
      <t>スイショウ</t>
    </rPh>
    <phoneticPr fontId="2"/>
  </si>
  <si>
    <t>E11 030563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</si>
</sst>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_);[Red]\(0.0\)"/>
    <numFmt numFmtId="177" formatCode="0_);[Red]\(0\)"/>
    <numFmt numFmtId="178" formatCode="#,##0.0"/>
    <numFmt numFmtId="179" formatCode="0.0"/>
  </numFmts>
  <fonts count="47">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b/>
      <sz val="13"/>
      <name val="ＭＳ Ｐゴシック"/>
      <family val="3"/>
      <charset val="128"/>
    </font>
    <font>
      <sz val="9"/>
      <name val="ＭＳ Ｐゴシック"/>
      <family val="3"/>
      <charset val="128"/>
    </font>
    <font>
      <u/>
      <sz val="8.25"/>
      <color indexed="12"/>
      <name val="ＭＳ Ｐゴシック"/>
      <family val="3"/>
      <charset val="128"/>
    </font>
    <font>
      <b/>
      <sz val="11"/>
      <color indexed="8"/>
      <name val="ＭＳ Ｐゴシック"/>
      <family val="3"/>
      <charset val="128"/>
    </font>
    <font>
      <b/>
      <sz val="10"/>
      <color indexed="8"/>
      <name val="ＭＳ Ｐゴシック"/>
      <family val="3"/>
      <charset val="128"/>
    </font>
    <font>
      <sz val="8"/>
      <name val="ＭＳ Ｐゴシック"/>
      <family val="3"/>
      <charset val="128"/>
    </font>
    <font>
      <sz val="14"/>
      <name val="ＤＨＰ特太ゴシック体"/>
      <family val="3"/>
      <charset val="128"/>
    </font>
    <font>
      <sz val="6"/>
      <name val="ＭＳ Ｐゴシック"/>
      <family val="3"/>
      <charset val="128"/>
    </font>
    <font>
      <b/>
      <i/>
      <u/>
      <sz val="12"/>
      <color indexed="12"/>
      <name val="ＭＳ Ｐゴシック"/>
      <family val="3"/>
      <charset val="128"/>
    </font>
    <font>
      <sz val="6"/>
      <name val="游ゴシック"/>
      <family val="3"/>
      <charset val="128"/>
    </font>
    <font>
      <sz val="8.5"/>
      <name val="游ゴシック"/>
      <family val="3"/>
      <charset val="128"/>
    </font>
    <font>
      <b/>
      <sz val="8.5"/>
      <name val="游ゴシック"/>
      <family val="3"/>
      <charset val="128"/>
    </font>
    <font>
      <u/>
      <sz val="8.5"/>
      <color indexed="12"/>
      <name val="ＭＳ Ｐゴシック"/>
      <family val="3"/>
      <charset val="128"/>
    </font>
    <font>
      <b/>
      <sz val="8"/>
      <name val="游ゴシック"/>
      <family val="3"/>
      <charset val="128"/>
    </font>
    <font>
      <b/>
      <sz val="9"/>
      <color indexed="8"/>
      <name val="ＭＳ Ｐゴシック"/>
      <family val="3"/>
      <charset val="128"/>
    </font>
    <font>
      <sz val="10.5"/>
      <name val="游明朝"/>
      <family val="1"/>
      <charset val="128"/>
    </font>
    <font>
      <sz val="7"/>
      <name val="ＭＳ Ｐゴシック"/>
      <family val="3"/>
      <charset val="128"/>
    </font>
    <font>
      <sz val="10"/>
      <color indexed="8"/>
      <name val="ＭＳ Ｐゴシック"/>
      <family val="3"/>
      <charset val="128"/>
    </font>
    <font>
      <b/>
      <sz val="10.5"/>
      <color indexed="8"/>
      <name val="ＭＳ Ｐゴシック"/>
      <family val="3"/>
      <charset val="128"/>
    </font>
    <font>
      <sz val="5"/>
      <name val="ＭＳ Ｐゴシック"/>
      <family val="3"/>
      <charset val="128"/>
    </font>
    <font>
      <sz val="12"/>
      <color indexed="8"/>
      <name val="ＭＳ Ｐゴシック"/>
      <family val="3"/>
      <charset val="128"/>
    </font>
    <font>
      <vertAlign val="superscript"/>
      <sz val="12"/>
      <color indexed="8"/>
      <name val="ＭＳ Ｐゴシック"/>
      <family val="3"/>
      <charset val="128"/>
    </font>
    <font>
      <b/>
      <sz val="11"/>
      <color theme="1"/>
      <name val="ＭＳ Ｐゴシック"/>
      <family val="3"/>
      <charset val="128"/>
    </font>
    <font>
      <u/>
      <sz val="8.5"/>
      <color indexed="12"/>
      <name val="ＭＳ Ｐゴシック"/>
      <family val="3"/>
      <charset val="128"/>
      <scheme val="major"/>
    </font>
    <font>
      <sz val="11"/>
      <color theme="1"/>
      <name val="ＭＳ Ｐゴシック"/>
      <family val="3"/>
      <charset val="128"/>
    </font>
    <font>
      <sz val="9"/>
      <color theme="1"/>
      <name val="ＭＳ Ｐゴシック"/>
      <family val="3"/>
      <charset val="128"/>
    </font>
    <font>
      <b/>
      <sz val="11"/>
      <color theme="1"/>
      <name val="游ゴシック"/>
      <family val="3"/>
      <charset val="128"/>
    </font>
    <font>
      <b/>
      <sz val="12"/>
      <color theme="1"/>
      <name val="ＭＳ Ｐゴシック"/>
      <family val="3"/>
      <charset val="128"/>
    </font>
    <font>
      <b/>
      <sz val="13"/>
      <color theme="1"/>
      <name val="ＭＳ Ｐゴシック"/>
      <family val="3"/>
      <charset val="128"/>
    </font>
    <font>
      <b/>
      <sz val="6"/>
      <color theme="1"/>
      <name val="ＭＳ Ｐゴシック"/>
      <family val="3"/>
      <charset val="128"/>
    </font>
    <font>
      <b/>
      <sz val="10"/>
      <color theme="1"/>
      <name val="ＭＳ Ｐゴシック"/>
      <family val="3"/>
      <charset val="128"/>
    </font>
    <font>
      <sz val="11"/>
      <color rgb="FFFF0000"/>
      <name val="ＭＳ Ｐゴシック"/>
      <family val="3"/>
      <charset val="128"/>
    </font>
    <font>
      <sz val="10"/>
      <color theme="1"/>
      <name val="ＭＳ Ｐゴシック"/>
      <family val="3"/>
      <charset val="128"/>
    </font>
    <font>
      <sz val="8"/>
      <color theme="1"/>
      <name val="ＭＳ Ｐゴシック"/>
      <family val="3"/>
      <charset val="128"/>
    </font>
    <font>
      <b/>
      <sz val="13"/>
      <color rgb="FFFF0000"/>
      <name val="ＭＳ Ｐゴシック"/>
      <family val="3"/>
      <charset val="128"/>
    </font>
    <font>
      <sz val="12"/>
      <color theme="1"/>
      <name val="ＭＳ Ｐゴシック"/>
      <family val="3"/>
      <charset val="128"/>
    </font>
    <font>
      <sz val="6"/>
      <color theme="1"/>
      <name val="ＭＳ Ｐゴシック"/>
      <family val="3"/>
      <charset val="128"/>
    </font>
    <font>
      <vertAlign val="superscript"/>
      <sz val="11"/>
      <name val="ＭＳ Ｐゴシック"/>
      <family val="3"/>
      <charset val="128"/>
    </font>
    <font>
      <sz val="8"/>
      <color indexed="8"/>
      <name val="ＭＳ Ｐゴシック"/>
      <family val="3"/>
      <charset val="128"/>
    </font>
    <font>
      <u/>
      <sz val="7"/>
      <color indexed="12"/>
      <name val="ＭＳ Ｐゴシック"/>
      <family val="3"/>
      <charset val="128"/>
    </font>
    <font>
      <u/>
      <sz val="7"/>
      <color indexed="12"/>
      <name val="ＭＳ Ｐゴシック"/>
      <family val="3"/>
      <charset val="128"/>
      <scheme val="major"/>
    </font>
  </fonts>
  <fills count="1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rgb="FFCCCCFF"/>
        <bgColor indexed="64"/>
      </patternFill>
    </fill>
    <fill>
      <patternFill patternType="solid">
        <fgColor rgb="FFCCECFF"/>
        <bgColor indexed="64"/>
      </patternFill>
    </fill>
    <fill>
      <patternFill patternType="solid">
        <fgColor rgb="FFCCFFFF"/>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66FFFF"/>
        <bgColor indexed="64"/>
      </patternFill>
    </fill>
    <fill>
      <patternFill patternType="solid">
        <fgColor rgb="FFFFFF66"/>
        <bgColor indexed="64"/>
      </patternFill>
    </fill>
    <fill>
      <patternFill patternType="solid">
        <fgColor rgb="FFFFCCFF"/>
        <bgColor indexed="64"/>
      </patternFill>
    </fill>
  </fills>
  <borders count="61">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bottom style="medium">
        <color indexed="64"/>
      </bottom>
      <diagonal/>
    </border>
    <border>
      <left/>
      <right/>
      <top style="thin">
        <color indexed="64"/>
      </top>
      <bottom/>
      <diagonal/>
    </border>
    <border>
      <left/>
      <right/>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top style="medium">
        <color indexed="64"/>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8" fillId="0" borderId="0" applyNumberFormat="0" applyFill="0" applyBorder="0" applyAlignment="0" applyProtection="0">
      <alignment vertical="top"/>
      <protection locked="0"/>
    </xf>
    <xf numFmtId="6" fontId="1"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horizontal="center" vertical="center"/>
    </xf>
    <xf numFmtId="49" fontId="0" fillId="0" borderId="0" xfId="0" applyNumberFormat="1">
      <alignment vertical="center"/>
    </xf>
    <xf numFmtId="176" fontId="0" fillId="0" borderId="0" xfId="0" applyNumberFormat="1">
      <alignment vertical="center"/>
    </xf>
    <xf numFmtId="0" fontId="12"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7" fillId="5" borderId="0" xfId="0" applyFont="1" applyFill="1" applyAlignment="1">
      <alignment horizontal="center" vertical="center" shrinkToFit="1"/>
    </xf>
    <xf numFmtId="0" fontId="17" fillId="5" borderId="0" xfId="0" applyFont="1" applyFill="1" applyAlignment="1">
      <alignment horizontal="left" vertical="center" shrinkToFit="1"/>
    </xf>
    <xf numFmtId="0" fontId="16" fillId="0" borderId="0" xfId="0" applyFont="1" applyAlignment="1">
      <alignment horizontal="left" vertical="center" shrinkToFit="1"/>
    </xf>
    <xf numFmtId="0" fontId="8" fillId="0" borderId="0" xfId="1" applyAlignment="1" applyProtection="1">
      <alignment horizontal="left" vertical="center" shrinkToFit="1"/>
    </xf>
    <xf numFmtId="0" fontId="18" fillId="0" borderId="0" xfId="1" applyFont="1" applyAlignment="1" applyProtection="1">
      <alignment horizontal="left" vertical="center" shrinkToFit="1"/>
    </xf>
    <xf numFmtId="0" fontId="16" fillId="6" borderId="0" xfId="0" applyFont="1" applyFill="1" applyAlignment="1">
      <alignment horizontal="left" vertical="center" shrinkToFit="1"/>
    </xf>
    <xf numFmtId="0" fontId="16" fillId="0" borderId="0" xfId="0" applyFont="1" applyAlignment="1">
      <alignment horizontal="center" vertical="center" shrinkToFit="1"/>
    </xf>
    <xf numFmtId="0" fontId="19" fillId="5" borderId="0" xfId="0" applyFont="1" applyFill="1" applyAlignment="1">
      <alignment horizontal="left" vertical="center" shrinkToFit="1"/>
    </xf>
    <xf numFmtId="0" fontId="21" fillId="0" borderId="0" xfId="0" applyFont="1">
      <alignment vertical="center"/>
    </xf>
    <xf numFmtId="0" fontId="29" fillId="0" borderId="0" xfId="1" applyFont="1" applyAlignment="1" applyProtection="1">
      <alignment horizontal="left" vertical="center" shrinkToFit="1"/>
    </xf>
    <xf numFmtId="0" fontId="16" fillId="7" borderId="0" xfId="0" applyFont="1" applyFill="1" applyAlignment="1">
      <alignment horizontal="center" vertical="center" shrinkToFit="1"/>
    </xf>
    <xf numFmtId="0" fontId="16" fillId="8" borderId="0" xfId="0" applyFont="1" applyFill="1" applyAlignment="1">
      <alignment horizontal="center" vertical="center" shrinkToFit="1"/>
    </xf>
    <xf numFmtId="0" fontId="16" fillId="10" borderId="0" xfId="0" applyFont="1" applyFill="1" applyAlignment="1">
      <alignment horizontal="left" vertical="center" shrinkToFi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16" xfId="0" applyBorder="1" applyAlignment="1">
      <alignment horizontal="left" vertical="center" wrapText="1"/>
    </xf>
    <xf numFmtId="0" fontId="0" fillId="0" borderId="3" xfId="0" applyBorder="1" applyAlignment="1">
      <alignment vertical="center" wrapText="1"/>
    </xf>
    <xf numFmtId="0" fontId="0" fillId="0" borderId="19" xfId="0" applyBorder="1">
      <alignment vertical="center"/>
    </xf>
    <xf numFmtId="0" fontId="11" fillId="8" borderId="2" xfId="0" applyFont="1" applyFill="1" applyBorder="1" applyAlignment="1">
      <alignment vertical="center" wrapText="1"/>
    </xf>
    <xf numFmtId="0" fontId="4" fillId="7"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7" borderId="15" xfId="0" applyFont="1" applyFill="1" applyBorder="1" applyAlignment="1">
      <alignment horizontal="center" vertical="center" wrapText="1"/>
    </xf>
    <xf numFmtId="0" fontId="4" fillId="0" borderId="2" xfId="0" applyFont="1" applyBorder="1" applyAlignment="1">
      <alignment horizontal="center" vertical="center" wrapText="1" shrinkToFit="1"/>
    </xf>
    <xf numFmtId="0" fontId="4" fillId="0" borderId="15" xfId="0" applyFont="1" applyBorder="1" applyAlignment="1">
      <alignment horizontal="center" vertical="center" wrapText="1"/>
    </xf>
    <xf numFmtId="0" fontId="4" fillId="10" borderId="25" xfId="0" applyFont="1" applyFill="1" applyBorder="1" applyAlignment="1">
      <alignment horizontal="center" vertical="center" wrapText="1"/>
    </xf>
    <xf numFmtId="0" fontId="4" fillId="10" borderId="26" xfId="0" applyFont="1" applyFill="1" applyBorder="1" applyAlignment="1">
      <alignment horizontal="center" vertical="center" wrapText="1"/>
    </xf>
    <xf numFmtId="0" fontId="38" fillId="6" borderId="25" xfId="0" applyFont="1" applyFill="1" applyBorder="1">
      <alignment vertical="center"/>
    </xf>
    <xf numFmtId="0" fontId="4" fillId="0" borderId="30" xfId="0" applyFont="1" applyBorder="1" applyAlignment="1">
      <alignment vertical="center" wrapText="1" shrinkToFit="1"/>
    </xf>
    <xf numFmtId="0" fontId="28" fillId="0" borderId="35" xfId="0" applyFont="1" applyBorder="1" applyAlignment="1">
      <alignment vertical="center" wrapText="1"/>
    </xf>
    <xf numFmtId="0" fontId="9" fillId="0" borderId="35" xfId="0" applyFont="1" applyBorder="1" applyAlignment="1">
      <alignment horizontal="left" vertical="center" wrapText="1" shrinkToFit="1"/>
    </xf>
    <xf numFmtId="0" fontId="28" fillId="0" borderId="35" xfId="0" applyFont="1" applyBorder="1" applyAlignment="1">
      <alignment horizontal="left" vertical="center" wrapText="1"/>
    </xf>
    <xf numFmtId="0" fontId="9" fillId="0" borderId="35" xfId="0" applyFont="1" applyBorder="1" applyAlignment="1">
      <alignment horizontal="left" vertical="center" wrapText="1"/>
    </xf>
    <xf numFmtId="0" fontId="28" fillId="0" borderId="35" xfId="0" applyFont="1" applyBorder="1" applyAlignment="1">
      <alignment horizontal="left" vertical="center" wrapText="1" shrinkToFit="1"/>
    </xf>
    <xf numFmtId="0" fontId="28" fillId="0" borderId="36" xfId="0" applyFont="1" applyBorder="1" applyAlignment="1">
      <alignment horizontal="left" vertical="center" wrapText="1"/>
    </xf>
    <xf numFmtId="0" fontId="9" fillId="0" borderId="35" xfId="0" applyFont="1" applyBorder="1" applyAlignment="1">
      <alignment vertical="center" wrapText="1" shrinkToFit="1"/>
    </xf>
    <xf numFmtId="0" fontId="28" fillId="0" borderId="36" xfId="0" applyFont="1" applyBorder="1" applyAlignment="1">
      <alignment horizontal="left" vertical="center" wrapText="1" shrinkToFit="1"/>
    </xf>
    <xf numFmtId="0" fontId="3" fillId="0" borderId="35" xfId="0" applyFont="1" applyBorder="1" applyAlignment="1">
      <alignment horizontal="left" vertical="center" wrapText="1"/>
    </xf>
    <xf numFmtId="0" fontId="23" fillId="0" borderId="35" xfId="0" applyFont="1" applyBorder="1" applyAlignment="1">
      <alignment vertical="center" wrapText="1"/>
    </xf>
    <xf numFmtId="0" fontId="23" fillId="0" borderId="35" xfId="0" applyFont="1" applyBorder="1" applyAlignment="1">
      <alignment horizontal="left" vertical="center" wrapText="1" shrinkToFit="1"/>
    </xf>
    <xf numFmtId="0" fontId="23" fillId="0" borderId="35" xfId="0" applyFont="1" applyBorder="1" applyAlignment="1">
      <alignment horizontal="left" vertical="center" wrapText="1"/>
    </xf>
    <xf numFmtId="0" fontId="23" fillId="0" borderId="36" xfId="0" applyFont="1" applyBorder="1" applyAlignment="1">
      <alignment horizontal="left" vertical="center" wrapText="1"/>
    </xf>
    <xf numFmtId="0" fontId="23" fillId="0" borderId="36" xfId="0" applyFont="1" applyBorder="1" applyAlignment="1">
      <alignment horizontal="left" vertical="center" wrapText="1" shrinkToFit="1"/>
    </xf>
    <xf numFmtId="0" fontId="23" fillId="0" borderId="35" xfId="0" applyFont="1" applyBorder="1" applyAlignment="1">
      <alignment vertical="center" wrapText="1" shrinkToFit="1"/>
    </xf>
    <xf numFmtId="0" fontId="4" fillId="0" borderId="35" xfId="0" applyFont="1" applyBorder="1" applyAlignment="1">
      <alignment horizontal="left" vertical="center" wrapText="1"/>
    </xf>
    <xf numFmtId="0" fontId="38" fillId="0" borderId="2" xfId="0" applyFont="1" applyBorder="1" applyAlignment="1">
      <alignment horizontal="center" vertical="center" wrapText="1"/>
    </xf>
    <xf numFmtId="0" fontId="38" fillId="0" borderId="2" xfId="0" applyFont="1" applyBorder="1" applyAlignment="1">
      <alignment horizontal="center" vertical="center"/>
    </xf>
    <xf numFmtId="49" fontId="38" fillId="0" borderId="2" xfId="0" applyNumberFormat="1" applyFont="1" applyBorder="1" applyAlignment="1">
      <alignment horizontal="center" vertical="center"/>
    </xf>
    <xf numFmtId="49" fontId="39" fillId="0" borderId="2" xfId="0" applyNumberFormat="1" applyFont="1" applyBorder="1" applyAlignment="1">
      <alignment horizontal="center" vertical="center" wrapText="1"/>
    </xf>
    <xf numFmtId="49" fontId="30" fillId="0" borderId="35" xfId="0" applyNumberFormat="1" applyFont="1" applyBorder="1" applyAlignment="1">
      <alignment horizontal="center" vertical="center"/>
    </xf>
    <xf numFmtId="49" fontId="30" fillId="0" borderId="36" xfId="0" applyNumberFormat="1" applyFont="1" applyBorder="1" applyAlignment="1">
      <alignment horizontal="center" vertical="center"/>
    </xf>
    <xf numFmtId="49" fontId="0" fillId="0" borderId="35" xfId="0" applyNumberFormat="1" applyBorder="1" applyAlignment="1">
      <alignment horizontal="center" vertical="center"/>
    </xf>
    <xf numFmtId="0" fontId="28" fillId="5" borderId="2" xfId="0" applyFont="1" applyFill="1" applyBorder="1" applyAlignment="1">
      <alignment horizontal="center" vertical="center" wrapText="1"/>
    </xf>
    <xf numFmtId="0" fontId="28" fillId="0" borderId="2" xfId="0" applyFont="1" applyBorder="1" applyAlignment="1">
      <alignment horizontal="center" vertical="center" wrapText="1"/>
    </xf>
    <xf numFmtId="0" fontId="28" fillId="5" borderId="2" xfId="0" applyFont="1" applyFill="1" applyBorder="1" applyAlignment="1">
      <alignment horizontal="center" vertical="center"/>
    </xf>
    <xf numFmtId="0" fontId="28" fillId="5" borderId="31"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4" borderId="30" xfId="0" applyFont="1" applyFill="1" applyBorder="1" applyAlignment="1">
      <alignment horizontal="center" vertical="center" wrapText="1"/>
    </xf>
    <xf numFmtId="0" fontId="28" fillId="4" borderId="31" xfId="0" applyFont="1" applyFill="1" applyBorder="1" applyAlignment="1">
      <alignment horizontal="center" vertical="center" wrapText="1"/>
    </xf>
    <xf numFmtId="0" fontId="28" fillId="4" borderId="30" xfId="0" applyFont="1" applyFill="1" applyBorder="1" applyAlignment="1">
      <alignment horizontal="center" vertical="center"/>
    </xf>
    <xf numFmtId="0" fontId="33" fillId="5" borderId="30" xfId="0" applyFont="1" applyFill="1" applyBorder="1" applyAlignment="1">
      <alignment horizontal="center" vertical="center"/>
    </xf>
    <xf numFmtId="176" fontId="33" fillId="5" borderId="30" xfId="0" applyNumberFormat="1" applyFont="1" applyFill="1" applyBorder="1" applyAlignment="1">
      <alignment horizontal="center" vertical="center" wrapText="1" shrinkToFit="1"/>
    </xf>
    <xf numFmtId="176" fontId="5" fillId="5" borderId="30" xfId="0" applyNumberFormat="1" applyFont="1" applyFill="1" applyBorder="1" applyAlignment="1">
      <alignment horizontal="center" vertical="center" wrapText="1" shrinkToFit="1"/>
    </xf>
    <xf numFmtId="0" fontId="33" fillId="5" borderId="31" xfId="0" applyFont="1" applyFill="1" applyBorder="1" applyAlignment="1">
      <alignment horizontal="center" vertical="center"/>
    </xf>
    <xf numFmtId="0" fontId="0" fillId="0" borderId="33" xfId="0" applyBorder="1">
      <alignment vertical="center"/>
    </xf>
    <xf numFmtId="0" fontId="28" fillId="5" borderId="36"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28" fillId="5" borderId="35" xfId="0" applyFont="1" applyFill="1" applyBorder="1" applyAlignment="1">
      <alignment horizontal="center" vertical="center"/>
    </xf>
    <xf numFmtId="0" fontId="3" fillId="5" borderId="35" xfId="0" applyFont="1" applyFill="1" applyBorder="1" applyAlignment="1">
      <alignment horizontal="center" vertical="center"/>
    </xf>
    <xf numFmtId="0" fontId="28" fillId="5" borderId="36" xfId="0" applyFont="1" applyFill="1" applyBorder="1" applyAlignment="1">
      <alignment horizontal="center" vertical="center"/>
    </xf>
    <xf numFmtId="0" fontId="0" fillId="0" borderId="33" xfId="0" applyBorder="1" applyAlignment="1">
      <alignment horizontal="center" vertical="center"/>
    </xf>
    <xf numFmtId="0" fontId="28" fillId="5" borderId="37" xfId="0" applyFont="1" applyFill="1" applyBorder="1" applyAlignment="1">
      <alignment horizontal="right" vertical="center" wrapText="1"/>
    </xf>
    <xf numFmtId="0" fontId="28" fillId="5" borderId="21" xfId="0" applyFont="1" applyFill="1" applyBorder="1" applyAlignment="1">
      <alignment horizontal="right" vertical="center" wrapText="1"/>
    </xf>
    <xf numFmtId="0" fontId="28" fillId="0" borderId="21" xfId="0" applyFont="1" applyBorder="1" applyAlignment="1">
      <alignment horizontal="right" vertical="center" wrapText="1"/>
    </xf>
    <xf numFmtId="0" fontId="28" fillId="0" borderId="37" xfId="0" applyFont="1" applyBorder="1" applyAlignment="1">
      <alignment horizontal="right" vertical="center" wrapText="1"/>
    </xf>
    <xf numFmtId="0" fontId="30" fillId="5" borderId="36" xfId="0" applyFont="1" applyFill="1" applyBorder="1" applyAlignment="1">
      <alignment horizontal="left" vertical="center" wrapText="1"/>
    </xf>
    <xf numFmtId="0" fontId="30" fillId="5" borderId="35" xfId="0" applyFont="1" applyFill="1" applyBorder="1" applyAlignment="1">
      <alignment horizontal="left" vertical="center" wrapText="1"/>
    </xf>
    <xf numFmtId="0" fontId="30" fillId="0" borderId="35" xfId="0" applyFont="1" applyBorder="1" applyAlignment="1">
      <alignment horizontal="left" vertical="center" wrapText="1"/>
    </xf>
    <xf numFmtId="0" fontId="30" fillId="0" borderId="36" xfId="0" applyFont="1" applyBorder="1" applyAlignment="1">
      <alignment horizontal="left" vertical="center" wrapText="1"/>
    </xf>
    <xf numFmtId="0" fontId="0" fillId="4" borderId="21" xfId="0" applyFill="1" applyBorder="1" applyAlignment="1">
      <alignment horizontal="center" vertical="center" textRotation="255" wrapText="1"/>
    </xf>
    <xf numFmtId="0" fontId="4" fillId="4" borderId="21" xfId="0" applyFont="1" applyFill="1" applyBorder="1" applyAlignment="1">
      <alignment horizontal="center" vertical="center" textRotation="255" wrapText="1"/>
    </xf>
    <xf numFmtId="0" fontId="0" fillId="4" borderId="35" xfId="0" applyFill="1" applyBorder="1" applyAlignment="1">
      <alignment horizontal="center" vertical="center" textRotation="255" wrapText="1"/>
    </xf>
    <xf numFmtId="0" fontId="4" fillId="4" borderId="35" xfId="0" applyFont="1" applyFill="1" applyBorder="1" applyAlignment="1">
      <alignment horizontal="center" vertical="center" textRotation="255" wrapText="1"/>
    </xf>
    <xf numFmtId="0" fontId="36" fillId="5" borderId="2" xfId="0" applyFont="1" applyFill="1" applyBorder="1" applyAlignment="1">
      <alignment horizontal="center" vertical="center" wrapText="1"/>
    </xf>
    <xf numFmtId="0" fontId="36" fillId="0" borderId="2" xfId="0" applyFont="1" applyBorder="1" applyAlignment="1">
      <alignment horizontal="center" vertical="center" wrapText="1"/>
    </xf>
    <xf numFmtId="0" fontId="36" fillId="5" borderId="15" xfId="0" applyFont="1" applyFill="1" applyBorder="1" applyAlignment="1">
      <alignment horizontal="center" vertical="center" wrapText="1"/>
    </xf>
    <xf numFmtId="0" fontId="36" fillId="0" borderId="15" xfId="0" applyFont="1" applyBorder="1" applyAlignment="1">
      <alignment horizontal="center" vertical="center" wrapText="1"/>
    </xf>
    <xf numFmtId="176" fontId="28" fillId="5" borderId="2" xfId="0" applyNumberFormat="1" applyFont="1" applyFill="1" applyBorder="1" applyAlignment="1">
      <alignment horizontal="center" vertical="center" shrinkToFit="1"/>
    </xf>
    <xf numFmtId="176" fontId="3" fillId="5" borderId="2" xfId="0" applyNumberFormat="1" applyFont="1" applyFill="1" applyBorder="1" applyAlignment="1">
      <alignment horizontal="center" vertical="center" shrinkToFit="1"/>
    </xf>
    <xf numFmtId="0" fontId="28" fillId="0" borderId="2" xfId="0" applyFont="1" applyBorder="1" applyAlignment="1">
      <alignment horizontal="center" vertical="center"/>
    </xf>
    <xf numFmtId="0" fontId="28" fillId="4" borderId="31" xfId="0" applyFont="1" applyFill="1" applyBorder="1" applyAlignment="1">
      <alignment horizontal="center" vertical="center"/>
    </xf>
    <xf numFmtId="0" fontId="28" fillId="5" borderId="30" xfId="0" applyFont="1" applyFill="1" applyBorder="1" applyAlignment="1">
      <alignment horizontal="center" vertical="center"/>
    </xf>
    <xf numFmtId="176" fontId="28" fillId="5" borderId="30" xfId="0" applyNumberFormat="1" applyFont="1" applyFill="1" applyBorder="1" applyAlignment="1">
      <alignment horizontal="center" vertical="center" wrapText="1" shrinkToFit="1"/>
    </xf>
    <xf numFmtId="176" fontId="3" fillId="5" borderId="30" xfId="0" applyNumberFormat="1" applyFont="1" applyFill="1" applyBorder="1" applyAlignment="1">
      <alignment horizontal="center" vertical="center" wrapText="1" shrinkToFit="1"/>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8" fillId="5" borderId="35" xfId="0" applyFont="1" applyFill="1" applyBorder="1" applyAlignment="1">
      <alignment horizontal="left" vertical="center" wrapText="1"/>
    </xf>
    <xf numFmtId="0" fontId="28" fillId="5" borderId="36" xfId="0" applyFont="1" applyFill="1" applyBorder="1" applyAlignment="1">
      <alignment horizontal="left" vertical="center" wrapText="1"/>
    </xf>
    <xf numFmtId="179" fontId="30" fillId="0" borderId="35" xfId="0" applyNumberFormat="1" applyFont="1" applyBorder="1" applyAlignment="1">
      <alignment horizontal="left" vertical="center" wrapText="1"/>
    </xf>
    <xf numFmtId="178" fontId="30" fillId="0" borderId="35" xfId="0" applyNumberFormat="1" applyFont="1" applyBorder="1" applyAlignment="1">
      <alignment horizontal="left" vertical="center" wrapText="1"/>
    </xf>
    <xf numFmtId="0" fontId="3" fillId="0" borderId="35" xfId="0" applyFont="1" applyBorder="1" applyAlignment="1">
      <alignment horizontal="center" vertical="center"/>
    </xf>
    <xf numFmtId="179" fontId="30" fillId="0" borderId="36" xfId="0" applyNumberFormat="1" applyFont="1" applyBorder="1" applyAlignment="1">
      <alignment horizontal="left" vertical="center" wrapText="1"/>
    </xf>
    <xf numFmtId="0" fontId="9" fillId="0" borderId="2" xfId="0" applyFont="1" applyBorder="1" applyAlignment="1">
      <alignment horizontal="center" vertical="center" wrapText="1"/>
    </xf>
    <xf numFmtId="176" fontId="28" fillId="0" borderId="2" xfId="0" applyNumberFormat="1" applyFont="1" applyBorder="1" applyAlignment="1">
      <alignment horizontal="center" vertical="center" shrinkToFit="1"/>
    </xf>
    <xf numFmtId="176" fontId="3" fillId="0" borderId="2" xfId="0" applyNumberFormat="1" applyFont="1" applyBorder="1" applyAlignment="1">
      <alignment horizontal="center" vertical="center" wrapText="1" shrinkToFit="1"/>
    </xf>
    <xf numFmtId="179" fontId="30" fillId="5" borderId="35" xfId="0" applyNumberFormat="1" applyFont="1" applyFill="1" applyBorder="1" applyAlignment="1">
      <alignment horizontal="left" vertical="center" wrapText="1"/>
    </xf>
    <xf numFmtId="177" fontId="40" fillId="5" borderId="2" xfId="0" applyNumberFormat="1" applyFont="1" applyFill="1" applyBorder="1" applyAlignment="1">
      <alignment horizontal="center" vertical="center"/>
    </xf>
    <xf numFmtId="177" fontId="40" fillId="0" borderId="2" xfId="0" applyNumberFormat="1" applyFont="1" applyBorder="1" applyAlignment="1">
      <alignment horizontal="center" vertical="center"/>
    </xf>
    <xf numFmtId="177" fontId="40" fillId="5" borderId="15" xfId="0" applyNumberFormat="1" applyFont="1" applyFill="1" applyBorder="1" applyAlignment="1">
      <alignment horizontal="center" vertical="center"/>
    </xf>
    <xf numFmtId="177" fontId="40" fillId="0" borderId="15" xfId="0" applyNumberFormat="1" applyFont="1" applyBorder="1" applyAlignment="1">
      <alignment horizontal="center" vertical="center"/>
    </xf>
    <xf numFmtId="176" fontId="34" fillId="5" borderId="2" xfId="0" applyNumberFormat="1" applyFont="1" applyFill="1" applyBorder="1" applyAlignment="1">
      <alignment horizontal="center" vertical="center"/>
    </xf>
    <xf numFmtId="176" fontId="34" fillId="5" borderId="15" xfId="0" applyNumberFormat="1" applyFont="1" applyFill="1" applyBorder="1" applyAlignment="1">
      <alignment horizontal="center" vertical="center"/>
    </xf>
    <xf numFmtId="176" fontId="34" fillId="0" borderId="2" xfId="0" applyNumberFormat="1" applyFont="1" applyBorder="1" applyAlignment="1">
      <alignment horizontal="center" vertical="center"/>
    </xf>
    <xf numFmtId="176" fontId="6" fillId="5" borderId="2" xfId="0" applyNumberFormat="1" applyFont="1" applyFill="1" applyBorder="1" applyAlignment="1">
      <alignment horizontal="center" vertical="center"/>
    </xf>
    <xf numFmtId="177" fontId="40" fillId="5" borderId="30" xfId="0" applyNumberFormat="1" applyFont="1" applyFill="1" applyBorder="1" applyAlignment="1">
      <alignment horizontal="center" vertical="center"/>
    </xf>
    <xf numFmtId="177" fontId="40" fillId="0" borderId="30" xfId="0" applyNumberFormat="1" applyFont="1" applyBorder="1" applyAlignment="1">
      <alignment horizontal="center" vertical="center"/>
    </xf>
    <xf numFmtId="177" fontId="40" fillId="5" borderId="31" xfId="0" applyNumberFormat="1" applyFont="1" applyFill="1" applyBorder="1" applyAlignment="1">
      <alignment horizontal="center" vertical="center"/>
    </xf>
    <xf numFmtId="177" fontId="40" fillId="0" borderId="31" xfId="0" applyNumberFormat="1" applyFont="1" applyBorder="1" applyAlignment="1">
      <alignment horizontal="center" vertical="center"/>
    </xf>
    <xf numFmtId="176" fontId="34" fillId="5" borderId="30" xfId="0" applyNumberFormat="1" applyFont="1" applyFill="1" applyBorder="1" applyAlignment="1">
      <alignment horizontal="center" vertical="center"/>
    </xf>
    <xf numFmtId="176" fontId="34" fillId="5" borderId="31" xfId="0" applyNumberFormat="1" applyFont="1" applyFill="1" applyBorder="1" applyAlignment="1">
      <alignment horizontal="center" vertical="center"/>
    </xf>
    <xf numFmtId="176" fontId="34" fillId="0" borderId="30" xfId="0" applyNumberFormat="1" applyFont="1" applyBorder="1" applyAlignment="1">
      <alignment horizontal="center" vertical="center"/>
    </xf>
    <xf numFmtId="176" fontId="6" fillId="5" borderId="30" xfId="0" applyNumberFormat="1" applyFont="1" applyFill="1" applyBorder="1" applyAlignment="1">
      <alignment horizontal="center" vertical="center"/>
    </xf>
    <xf numFmtId="176" fontId="0" fillId="0" borderId="33" xfId="0" applyNumberFormat="1" applyBorder="1">
      <alignment vertical="center"/>
    </xf>
    <xf numFmtId="177" fontId="40" fillId="5" borderId="35" xfId="0" applyNumberFormat="1" applyFont="1" applyFill="1" applyBorder="1" applyAlignment="1">
      <alignment horizontal="center" vertical="center"/>
    </xf>
    <xf numFmtId="177" fontId="40" fillId="0" borderId="35" xfId="0" applyNumberFormat="1" applyFont="1" applyBorder="1" applyAlignment="1">
      <alignment horizontal="center" vertical="center"/>
    </xf>
    <xf numFmtId="177" fontId="40" fillId="5" borderId="36" xfId="0" applyNumberFormat="1" applyFont="1" applyFill="1" applyBorder="1" applyAlignment="1">
      <alignment horizontal="center" vertical="center"/>
    </xf>
    <xf numFmtId="177" fontId="40" fillId="0" borderId="36" xfId="0" applyNumberFormat="1" applyFont="1" applyBorder="1" applyAlignment="1">
      <alignment horizontal="center" vertical="center"/>
    </xf>
    <xf numFmtId="176" fontId="34" fillId="5" borderId="35" xfId="0" applyNumberFormat="1" applyFont="1" applyFill="1" applyBorder="1" applyAlignment="1">
      <alignment horizontal="center" vertical="center"/>
    </xf>
    <xf numFmtId="176" fontId="34" fillId="5" borderId="36" xfId="0" applyNumberFormat="1" applyFont="1" applyFill="1" applyBorder="1" applyAlignment="1">
      <alignment horizontal="center" vertical="center"/>
    </xf>
    <xf numFmtId="176" fontId="34" fillId="0" borderId="35" xfId="0" applyNumberFormat="1" applyFont="1" applyBorder="1" applyAlignment="1">
      <alignment horizontal="center" vertical="center"/>
    </xf>
    <xf numFmtId="176" fontId="6" fillId="5" borderId="35" xfId="0" applyNumberFormat="1" applyFont="1" applyFill="1" applyBorder="1" applyAlignment="1">
      <alignment horizontal="center" vertical="center"/>
    </xf>
    <xf numFmtId="176" fontId="28" fillId="0" borderId="2" xfId="0" applyNumberFormat="1" applyFont="1" applyBorder="1" applyAlignment="1">
      <alignment horizontal="center" vertical="center"/>
    </xf>
    <xf numFmtId="176" fontId="34" fillId="0" borderId="15" xfId="0" applyNumberFormat="1" applyFont="1" applyBorder="1" applyAlignment="1">
      <alignment horizontal="center" vertical="center"/>
    </xf>
    <xf numFmtId="176" fontId="28" fillId="0" borderId="30" xfId="0" applyNumberFormat="1" applyFont="1" applyBorder="1" applyAlignment="1">
      <alignment horizontal="center" vertical="center"/>
    </xf>
    <xf numFmtId="176" fontId="34" fillId="0" borderId="31" xfId="0" applyNumberFormat="1" applyFont="1" applyBorder="1" applyAlignment="1">
      <alignment horizontal="center" vertical="center"/>
    </xf>
    <xf numFmtId="176" fontId="28" fillId="0" borderId="35" xfId="0" applyNumberFormat="1" applyFont="1" applyBorder="1" applyAlignment="1">
      <alignment horizontal="center" vertical="center"/>
    </xf>
    <xf numFmtId="176" fontId="34" fillId="0" borderId="36"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30" xfId="0" applyNumberFormat="1" applyFont="1" applyBorder="1" applyAlignment="1">
      <alignment horizontal="center" vertical="center"/>
    </xf>
    <xf numFmtId="176" fontId="6" fillId="0" borderId="35" xfId="0" applyNumberFormat="1" applyFont="1" applyBorder="1" applyAlignment="1">
      <alignment horizontal="center" vertical="center"/>
    </xf>
    <xf numFmtId="0" fontId="4" fillId="0" borderId="3" xfId="0" applyFont="1" applyBorder="1" applyAlignment="1">
      <alignment horizontal="left" vertical="center" wrapText="1"/>
    </xf>
    <xf numFmtId="0" fontId="7" fillId="0" borderId="3" xfId="0" applyFont="1" applyBorder="1" applyAlignment="1">
      <alignment horizontal="left" vertical="center" wrapText="1"/>
    </xf>
    <xf numFmtId="0" fontId="38" fillId="0" borderId="35" xfId="0" applyFont="1" applyBorder="1" applyAlignment="1">
      <alignment horizontal="left" vertical="center" wrapText="1"/>
    </xf>
    <xf numFmtId="176" fontId="33" fillId="5" borderId="31" xfId="0" applyNumberFormat="1" applyFont="1" applyFill="1" applyBorder="1" applyAlignment="1">
      <alignment horizontal="center" vertical="center" wrapText="1" shrinkToFit="1"/>
    </xf>
    <xf numFmtId="176" fontId="28" fillId="5" borderId="15" xfId="0" applyNumberFormat="1" applyFont="1" applyFill="1" applyBorder="1" applyAlignment="1">
      <alignment horizontal="center" vertical="center" shrinkToFit="1"/>
    </xf>
    <xf numFmtId="176" fontId="28" fillId="0" borderId="15" xfId="0" applyNumberFormat="1" applyFont="1" applyBorder="1" applyAlignment="1">
      <alignment horizontal="center" vertical="center" shrinkToFit="1"/>
    </xf>
    <xf numFmtId="0" fontId="11" fillId="0" borderId="3" xfId="0" applyFont="1" applyBorder="1" applyAlignment="1">
      <alignment vertical="center" wrapText="1"/>
    </xf>
    <xf numFmtId="0" fontId="28" fillId="0" borderId="15" xfId="0" applyFont="1" applyBorder="1" applyAlignment="1">
      <alignment horizontal="center" vertical="center" wrapText="1"/>
    </xf>
    <xf numFmtId="0" fontId="4" fillId="16" borderId="25" xfId="0" applyFont="1" applyFill="1" applyBorder="1" applyAlignment="1">
      <alignment horizontal="center" vertical="center" shrinkToFit="1"/>
    </xf>
    <xf numFmtId="0" fontId="4" fillId="16" borderId="26" xfId="0" applyFont="1" applyFill="1" applyBorder="1" applyAlignment="1">
      <alignment horizontal="center" vertical="center" shrinkToFit="1"/>
    </xf>
    <xf numFmtId="0" fontId="16" fillId="16" borderId="0" xfId="0" applyFont="1" applyFill="1" applyAlignment="1">
      <alignment horizontal="left" vertical="center" shrinkToFit="1"/>
    </xf>
    <xf numFmtId="0" fontId="23" fillId="2" borderId="46" xfId="0" applyFont="1" applyFill="1" applyBorder="1" applyAlignment="1">
      <alignment horizontal="left" vertical="center" wrapText="1"/>
    </xf>
    <xf numFmtId="0" fontId="23" fillId="0" borderId="46" xfId="0" applyFont="1" applyBorder="1" applyAlignment="1">
      <alignment horizontal="left" vertical="center" wrapText="1"/>
    </xf>
    <xf numFmtId="49" fontId="23" fillId="0" borderId="46" xfId="0" applyNumberFormat="1" applyFont="1" applyBorder="1" applyAlignment="1">
      <alignment horizontal="left" vertical="center" wrapText="1"/>
    </xf>
    <xf numFmtId="0" fontId="23" fillId="0" borderId="46" xfId="0" applyFont="1" applyBorder="1" applyAlignment="1">
      <alignment horizontal="left" vertical="center" wrapText="1" shrinkToFit="1"/>
    </xf>
    <xf numFmtId="49" fontId="30" fillId="2" borderId="46" xfId="0" applyNumberFormat="1" applyFont="1" applyFill="1" applyBorder="1" applyAlignment="1">
      <alignment horizontal="center" vertical="center" wrapText="1"/>
    </xf>
    <xf numFmtId="49" fontId="30" fillId="0" borderId="46" xfId="0" applyNumberFormat="1" applyFont="1" applyBorder="1" applyAlignment="1">
      <alignment horizontal="center" vertical="center" wrapText="1"/>
    </xf>
    <xf numFmtId="49" fontId="30" fillId="2" borderId="46" xfId="0" applyNumberFormat="1" applyFont="1" applyFill="1" applyBorder="1" applyAlignment="1">
      <alignment horizontal="center" vertical="center"/>
    </xf>
    <xf numFmtId="49" fontId="30" fillId="0" borderId="46" xfId="0" applyNumberFormat="1" applyFont="1" applyBorder="1" applyAlignment="1">
      <alignment horizontal="center" vertical="center"/>
    </xf>
    <xf numFmtId="49" fontId="38" fillId="2" borderId="45" xfId="0" applyNumberFormat="1" applyFont="1" applyFill="1" applyBorder="1" applyAlignment="1">
      <alignment horizontal="center" vertical="center" wrapText="1"/>
    </xf>
    <xf numFmtId="49" fontId="38" fillId="0" borderId="45" xfId="0" applyNumberFormat="1" applyFont="1" applyBorder="1" applyAlignment="1">
      <alignment horizontal="center" vertical="center" wrapText="1"/>
    </xf>
    <xf numFmtId="49" fontId="42" fillId="2" borderId="45" xfId="0" applyNumberFormat="1" applyFont="1" applyFill="1" applyBorder="1" applyAlignment="1">
      <alignment horizontal="center" vertical="center" wrapText="1"/>
    </xf>
    <xf numFmtId="49" fontId="39" fillId="2" borderId="45" xfId="0" applyNumberFormat="1" applyFont="1" applyFill="1" applyBorder="1" applyAlignment="1">
      <alignment horizontal="center" vertical="center" wrapText="1"/>
    </xf>
    <xf numFmtId="49" fontId="31" fillId="2" borderId="45" xfId="0" applyNumberFormat="1" applyFont="1" applyFill="1" applyBorder="1" applyAlignment="1">
      <alignment horizontal="center" vertical="center" wrapText="1"/>
    </xf>
    <xf numFmtId="49" fontId="39" fillId="0" borderId="45" xfId="0" applyNumberFormat="1" applyFont="1" applyBorder="1" applyAlignment="1">
      <alignment horizontal="center" vertical="center" wrapText="1"/>
    </xf>
    <xf numFmtId="0" fontId="33" fillId="5" borderId="31" xfId="0" applyFont="1" applyFill="1" applyBorder="1" applyAlignment="1">
      <alignment horizontal="center" vertical="center" wrapText="1"/>
    </xf>
    <xf numFmtId="176" fontId="33" fillId="5" borderId="31" xfId="0" applyNumberFormat="1" applyFont="1" applyFill="1" applyBorder="1" applyAlignment="1">
      <alignment horizontal="center" vertical="center"/>
    </xf>
    <xf numFmtId="176" fontId="35" fillId="5" borderId="31" xfId="0" applyNumberFormat="1" applyFont="1" applyFill="1" applyBorder="1" applyAlignment="1">
      <alignment vertical="center" wrapText="1" shrinkToFit="1"/>
    </xf>
    <xf numFmtId="176" fontId="35" fillId="5" borderId="31" xfId="0" applyNumberFormat="1" applyFont="1" applyFill="1" applyBorder="1" applyAlignment="1">
      <alignment horizontal="center" vertical="center" wrapText="1" shrinkToFit="1"/>
    </xf>
    <xf numFmtId="176" fontId="28" fillId="5" borderId="31" xfId="0" applyNumberFormat="1" applyFont="1" applyFill="1" applyBorder="1" applyAlignment="1">
      <alignment horizontal="center" vertical="center"/>
    </xf>
    <xf numFmtId="176" fontId="33" fillId="5" borderId="31" xfId="0" applyNumberFormat="1" applyFont="1" applyFill="1" applyBorder="1" applyAlignment="1">
      <alignment horizontal="center" vertical="center" wrapText="1"/>
    </xf>
    <xf numFmtId="176" fontId="36" fillId="5" borderId="31" xfId="0" applyNumberFormat="1" applyFont="1" applyFill="1" applyBorder="1" applyAlignment="1">
      <alignment horizontal="center" vertical="center" wrapText="1"/>
    </xf>
    <xf numFmtId="0" fontId="28" fillId="5" borderId="15" xfId="0" applyFont="1" applyFill="1" applyBorder="1" applyAlignment="1">
      <alignment horizontal="center" vertical="center"/>
    </xf>
    <xf numFmtId="0" fontId="28" fillId="0" borderId="15" xfId="0" applyFont="1" applyBorder="1" applyAlignment="1">
      <alignment horizontal="center" vertical="center"/>
    </xf>
    <xf numFmtId="0" fontId="28" fillId="5" borderId="48" xfId="0" applyFont="1" applyFill="1" applyBorder="1" applyAlignment="1">
      <alignment horizontal="center" vertical="center"/>
    </xf>
    <xf numFmtId="49" fontId="28" fillId="5" borderId="48" xfId="0" applyNumberFormat="1" applyFont="1" applyFill="1" applyBorder="1" applyAlignment="1">
      <alignment horizontal="center" vertical="center"/>
    </xf>
    <xf numFmtId="0" fontId="28" fillId="2" borderId="48" xfId="0" applyFont="1" applyFill="1" applyBorder="1" applyAlignment="1">
      <alignment horizontal="center" vertical="center"/>
    </xf>
    <xf numFmtId="0" fontId="28" fillId="0" borderId="48" xfId="0" applyFont="1" applyBorder="1" applyAlignment="1">
      <alignment horizontal="center" vertical="center"/>
    </xf>
    <xf numFmtId="0" fontId="28" fillId="2" borderId="48" xfId="0" applyFont="1" applyFill="1" applyBorder="1" applyAlignment="1">
      <alignment horizontal="center" vertical="center" wrapText="1"/>
    </xf>
    <xf numFmtId="49" fontId="28" fillId="0" borderId="48" xfId="0" applyNumberFormat="1" applyFont="1" applyBorder="1" applyAlignment="1">
      <alignment horizontal="center" vertical="center"/>
    </xf>
    <xf numFmtId="49" fontId="28" fillId="5" borderId="48" xfId="0" applyNumberFormat="1" applyFont="1" applyFill="1" applyBorder="1" applyAlignment="1">
      <alignment horizontal="center" vertical="center" wrapText="1"/>
    </xf>
    <xf numFmtId="0" fontId="28" fillId="5" borderId="48" xfId="0" applyFont="1" applyFill="1" applyBorder="1" applyAlignment="1">
      <alignment horizontal="center" vertical="center" wrapText="1"/>
    </xf>
    <xf numFmtId="0" fontId="30" fillId="5" borderId="36" xfId="0" applyFont="1" applyFill="1" applyBorder="1" applyAlignment="1">
      <alignment horizontal="center" vertical="center"/>
    </xf>
    <xf numFmtId="0" fontId="30" fillId="0" borderId="36" xfId="0" applyFont="1" applyBorder="1" applyAlignment="1">
      <alignment horizontal="center" vertical="center"/>
    </xf>
    <xf numFmtId="0" fontId="30" fillId="5" borderId="36" xfId="0" applyFont="1" applyFill="1" applyBorder="1" applyAlignment="1">
      <alignment horizontal="center" vertical="top"/>
    </xf>
    <xf numFmtId="0" fontId="28" fillId="2" borderId="15" xfId="0" applyFont="1" applyFill="1" applyBorder="1" applyAlignment="1">
      <alignment horizontal="center" vertical="center"/>
    </xf>
    <xf numFmtId="176" fontId="28" fillId="5" borderId="15" xfId="0" applyNumberFormat="1" applyFont="1" applyFill="1" applyBorder="1" applyAlignment="1">
      <alignment horizontal="center" vertical="center" wrapText="1"/>
    </xf>
    <xf numFmtId="176" fontId="36" fillId="5" borderId="15" xfId="0" applyNumberFormat="1" applyFont="1" applyFill="1" applyBorder="1" applyAlignment="1">
      <alignment horizontal="center" vertical="center" wrapText="1"/>
    </xf>
    <xf numFmtId="176" fontId="28" fillId="5" borderId="15" xfId="0" applyNumberFormat="1" applyFont="1" applyFill="1" applyBorder="1" applyAlignment="1">
      <alignment horizontal="center" vertical="center"/>
    </xf>
    <xf numFmtId="2" fontId="30" fillId="5" borderId="36" xfId="0" applyNumberFormat="1" applyFont="1" applyFill="1" applyBorder="1" applyAlignment="1">
      <alignment horizontal="center" vertical="center"/>
    </xf>
    <xf numFmtId="2" fontId="30" fillId="0" borderId="36" xfId="0" applyNumberFormat="1" applyFont="1" applyBorder="1" applyAlignment="1">
      <alignment horizontal="center" vertical="center"/>
    </xf>
    <xf numFmtId="0" fontId="28" fillId="2" borderId="36" xfId="0" applyFont="1" applyFill="1" applyBorder="1" applyAlignment="1">
      <alignment horizontal="center" vertical="center"/>
    </xf>
    <xf numFmtId="0" fontId="28" fillId="2" borderId="15" xfId="0" applyFont="1" applyFill="1" applyBorder="1" applyAlignment="1">
      <alignment horizontal="center" vertical="center" wrapText="1"/>
    </xf>
    <xf numFmtId="49" fontId="28" fillId="2" borderId="36" xfId="0" applyNumberFormat="1" applyFont="1" applyFill="1" applyBorder="1" applyAlignment="1">
      <alignment horizontal="center" vertical="center"/>
    </xf>
    <xf numFmtId="0" fontId="28" fillId="2" borderId="36" xfId="0" applyFont="1" applyFill="1" applyBorder="1" applyAlignment="1">
      <alignment horizontal="center" vertical="center" wrapText="1"/>
    </xf>
    <xf numFmtId="49" fontId="28" fillId="0" borderId="36" xfId="0" applyNumberFormat="1" applyFont="1" applyBorder="1" applyAlignment="1">
      <alignment horizontal="center" vertical="center"/>
    </xf>
    <xf numFmtId="49" fontId="28" fillId="0" borderId="36" xfId="0" applyNumberFormat="1" applyFont="1" applyBorder="1" applyAlignment="1">
      <alignment horizontal="center" vertical="center" wrapText="1"/>
    </xf>
    <xf numFmtId="0" fontId="30" fillId="2" borderId="36" xfId="0" applyFont="1" applyFill="1" applyBorder="1" applyAlignment="1">
      <alignment horizontal="left" vertical="center"/>
    </xf>
    <xf numFmtId="0" fontId="30" fillId="0" borderId="36" xfId="0" applyFont="1" applyBorder="1" applyAlignment="1">
      <alignment horizontal="left" vertical="center"/>
    </xf>
    <xf numFmtId="0" fontId="30" fillId="5" borderId="36" xfId="0" applyFont="1" applyFill="1" applyBorder="1" applyAlignment="1">
      <alignment horizontal="left" vertical="center"/>
    </xf>
    <xf numFmtId="2" fontId="30" fillId="0" borderId="36" xfId="0" applyNumberFormat="1" applyFont="1" applyBorder="1" applyAlignment="1">
      <alignment horizontal="left" vertical="center"/>
    </xf>
    <xf numFmtId="0" fontId="30" fillId="5" borderId="36" xfId="0" applyFont="1" applyFill="1" applyBorder="1" applyAlignment="1">
      <alignment horizontal="left" vertical="top"/>
    </xf>
    <xf numFmtId="2" fontId="30" fillId="5" borderId="36" xfId="0" applyNumberFormat="1" applyFont="1" applyFill="1" applyBorder="1" applyAlignment="1">
      <alignment horizontal="left" vertical="center"/>
    </xf>
    <xf numFmtId="176" fontId="35" fillId="4" borderId="31" xfId="0" applyNumberFormat="1" applyFont="1" applyFill="1" applyBorder="1" applyAlignment="1">
      <alignment vertical="center" wrapText="1" shrinkToFit="1"/>
    </xf>
    <xf numFmtId="176" fontId="35" fillId="4" borderId="31" xfId="0" applyNumberFormat="1" applyFont="1" applyFill="1" applyBorder="1" applyAlignment="1">
      <alignment horizontal="center" vertical="center" wrapText="1" shrinkToFit="1"/>
    </xf>
    <xf numFmtId="176" fontId="36" fillId="4" borderId="31" xfId="0" applyNumberFormat="1" applyFont="1" applyFill="1" applyBorder="1" applyAlignment="1">
      <alignment horizontal="center" vertical="center" wrapText="1"/>
    </xf>
    <xf numFmtId="49" fontId="28" fillId="5" borderId="36" xfId="0" applyNumberFormat="1" applyFont="1" applyFill="1" applyBorder="1" applyAlignment="1">
      <alignment horizontal="center" vertical="center"/>
    </xf>
    <xf numFmtId="0" fontId="30" fillId="0" borderId="36" xfId="0" applyFont="1" applyBorder="1" applyAlignment="1">
      <alignment horizontal="center" vertical="top"/>
    </xf>
    <xf numFmtId="2" fontId="30" fillId="0" borderId="36" xfId="0" applyNumberFormat="1" applyFont="1" applyBorder="1" applyAlignment="1">
      <alignment horizontal="center" vertical="top"/>
    </xf>
    <xf numFmtId="176" fontId="28" fillId="0" borderId="15" xfId="0" applyNumberFormat="1" applyFont="1" applyBorder="1" applyAlignment="1">
      <alignment horizontal="center" vertical="center"/>
    </xf>
    <xf numFmtId="176" fontId="28" fillId="0" borderId="15" xfId="0" applyNumberFormat="1" applyFont="1" applyBorder="1" applyAlignment="1">
      <alignment horizontal="center" vertical="center" wrapText="1"/>
    </xf>
    <xf numFmtId="176" fontId="36" fillId="2" borderId="15" xfId="0" applyNumberFormat="1" applyFont="1" applyFill="1" applyBorder="1" applyAlignment="1">
      <alignment horizontal="center" vertical="center" wrapText="1"/>
    </xf>
    <xf numFmtId="176" fontId="28" fillId="2" borderId="15" xfId="0" applyNumberFormat="1" applyFont="1" applyFill="1" applyBorder="1" applyAlignment="1">
      <alignment horizontal="center" vertical="center" wrapText="1"/>
    </xf>
    <xf numFmtId="176" fontId="34" fillId="2" borderId="31" xfId="0" applyNumberFormat="1" applyFont="1" applyFill="1" applyBorder="1" applyAlignment="1">
      <alignment horizontal="center" vertical="center"/>
    </xf>
    <xf numFmtId="176" fontId="34" fillId="2" borderId="36" xfId="0" applyNumberFormat="1" applyFont="1" applyFill="1" applyBorder="1" applyAlignment="1">
      <alignment horizontal="center" vertical="center"/>
    </xf>
    <xf numFmtId="176" fontId="6" fillId="5" borderId="15" xfId="0" applyNumberFormat="1" applyFont="1" applyFill="1" applyBorder="1" applyAlignment="1">
      <alignment horizontal="center" vertical="center"/>
    </xf>
    <xf numFmtId="176" fontId="6" fillId="2" borderId="15" xfId="0" applyNumberFormat="1" applyFont="1" applyFill="1" applyBorder="1" applyAlignment="1">
      <alignment horizontal="center" vertical="center"/>
    </xf>
    <xf numFmtId="176" fontId="6" fillId="0" borderId="15" xfId="0" applyNumberFormat="1" applyFont="1" applyBorder="1" applyAlignment="1">
      <alignment horizontal="center" vertical="center"/>
    </xf>
    <xf numFmtId="176" fontId="6" fillId="2" borderId="15" xfId="2" applyNumberFormat="1" applyFont="1" applyFill="1" applyBorder="1" applyAlignment="1">
      <alignment horizontal="center" vertical="center"/>
    </xf>
    <xf numFmtId="176" fontId="6" fillId="5" borderId="36" xfId="0" applyNumberFormat="1" applyFont="1" applyFill="1" applyBorder="1" applyAlignment="1">
      <alignment horizontal="center" vertical="center"/>
    </xf>
    <xf numFmtId="176" fontId="6" fillId="2" borderId="36" xfId="0" applyNumberFormat="1" applyFont="1" applyFill="1" applyBorder="1" applyAlignment="1">
      <alignment horizontal="center" vertical="center"/>
    </xf>
    <xf numFmtId="176" fontId="6" fillId="0" borderId="36" xfId="0" applyNumberFormat="1" applyFont="1" applyBorder="1" applyAlignment="1">
      <alignment horizontal="center" vertical="center"/>
    </xf>
    <xf numFmtId="0" fontId="28" fillId="5" borderId="46" xfId="0" applyFont="1" applyFill="1" applyBorder="1" applyAlignment="1">
      <alignment horizontal="center" vertical="center"/>
    </xf>
    <xf numFmtId="0" fontId="28" fillId="0" borderId="46" xfId="0" applyFont="1" applyBorder="1" applyAlignment="1">
      <alignment horizontal="center" vertical="center"/>
    </xf>
    <xf numFmtId="0" fontId="28" fillId="5" borderId="46" xfId="0" applyFont="1" applyFill="1" applyBorder="1" applyAlignment="1">
      <alignment horizontal="center"/>
    </xf>
    <xf numFmtId="0" fontId="28" fillId="5" borderId="37" xfId="0" applyFont="1" applyFill="1" applyBorder="1" applyAlignment="1">
      <alignment horizontal="center" vertical="center"/>
    </xf>
    <xf numFmtId="0" fontId="28" fillId="0" borderId="37" xfId="0" applyFont="1" applyBorder="1" applyAlignment="1">
      <alignment horizontal="center" vertical="center"/>
    </xf>
    <xf numFmtId="0" fontId="28" fillId="5" borderId="37" xfId="0" applyFont="1" applyFill="1" applyBorder="1" applyAlignment="1">
      <alignment horizontal="center"/>
    </xf>
    <xf numFmtId="0" fontId="28" fillId="2" borderId="37" xfId="0" applyFont="1" applyFill="1" applyBorder="1" applyAlignment="1">
      <alignment horizontal="right" vertical="center"/>
    </xf>
    <xf numFmtId="0" fontId="28" fillId="0" borderId="37" xfId="0" applyFont="1" applyBorder="1" applyAlignment="1">
      <alignment horizontal="right" vertical="center"/>
    </xf>
    <xf numFmtId="0" fontId="28" fillId="5" borderId="37" xfId="0" applyFont="1" applyFill="1" applyBorder="1" applyAlignment="1">
      <alignment horizontal="right" vertical="center"/>
    </xf>
    <xf numFmtId="0" fontId="28" fillId="5" borderId="37" xfId="0" applyFont="1" applyFill="1" applyBorder="1" applyAlignment="1">
      <alignment horizontal="right"/>
    </xf>
    <xf numFmtId="0" fontId="28" fillId="0" borderId="37" xfId="0" applyFont="1" applyBorder="1" applyAlignment="1">
      <alignment horizontal="center"/>
    </xf>
    <xf numFmtId="0" fontId="30" fillId="0" borderId="36" xfId="0" applyFont="1" applyBorder="1" applyAlignment="1">
      <alignment horizontal="center" vertical="center" wrapText="1"/>
    </xf>
    <xf numFmtId="0" fontId="28" fillId="2" borderId="36" xfId="0" applyFont="1" applyFill="1" applyBorder="1" applyAlignment="1">
      <alignment horizontal="left" vertical="center" wrapText="1"/>
    </xf>
    <xf numFmtId="49" fontId="28" fillId="0" borderId="36" xfId="0" applyNumberFormat="1" applyFont="1" applyBorder="1" applyAlignment="1">
      <alignment horizontal="left" vertical="center" wrapText="1"/>
    </xf>
    <xf numFmtId="0" fontId="9" fillId="0" borderId="36" xfId="0" applyFont="1" applyBorder="1" applyAlignment="1">
      <alignment horizontal="left" vertical="center" wrapText="1"/>
    </xf>
    <xf numFmtId="0" fontId="4" fillId="2" borderId="31" xfId="0" applyFont="1" applyFill="1" applyBorder="1" applyAlignment="1">
      <alignment vertical="center" wrapText="1" shrinkToFit="1"/>
    </xf>
    <xf numFmtId="0" fontId="4" fillId="0" borderId="31" xfId="0" applyFont="1" applyBorder="1" applyAlignment="1">
      <alignment vertical="center" wrapText="1" shrinkToFit="1"/>
    </xf>
    <xf numFmtId="0" fontId="4" fillId="2" borderId="31" xfId="0" applyFont="1" applyFill="1" applyBorder="1" applyAlignment="1">
      <alignment vertical="center" wrapText="1"/>
    </xf>
    <xf numFmtId="0" fontId="4" fillId="2" borderId="30" xfId="0" applyFont="1" applyFill="1" applyBorder="1" applyAlignment="1">
      <alignment vertical="center" wrapText="1"/>
    </xf>
    <xf numFmtId="49" fontId="4" fillId="2" borderId="31" xfId="0" applyNumberFormat="1" applyFont="1" applyFill="1" applyBorder="1" applyAlignment="1">
      <alignment vertical="center" wrapText="1" shrinkToFit="1"/>
    </xf>
    <xf numFmtId="49" fontId="4" fillId="0" borderId="31" xfId="0" applyNumberFormat="1" applyFont="1" applyBorder="1" applyAlignment="1">
      <alignment vertical="center" wrapText="1" shrinkToFit="1"/>
    </xf>
    <xf numFmtId="0" fontId="4" fillId="0" borderId="31" xfId="0" applyFont="1" applyBorder="1" applyAlignment="1">
      <alignment vertical="center" wrapText="1"/>
    </xf>
    <xf numFmtId="0" fontId="4" fillId="2" borderId="28" xfId="0" applyFont="1" applyFill="1" applyBorder="1" applyAlignment="1">
      <alignment vertical="center" wrapText="1"/>
    </xf>
    <xf numFmtId="49" fontId="4" fillId="2" borderId="30" xfId="0" applyNumberFormat="1" applyFont="1" applyFill="1" applyBorder="1" applyAlignment="1">
      <alignment vertical="center" wrapText="1" shrinkToFit="1"/>
    </xf>
    <xf numFmtId="49" fontId="4" fillId="0" borderId="30" xfId="0" applyNumberFormat="1" applyFont="1" applyBorder="1" applyAlignment="1">
      <alignment vertical="center" wrapText="1"/>
    </xf>
    <xf numFmtId="176" fontId="35" fillId="5" borderId="30" xfId="0" applyNumberFormat="1" applyFont="1" applyFill="1" applyBorder="1" applyAlignment="1">
      <alignment vertical="center" wrapText="1" shrinkToFit="1"/>
    </xf>
    <xf numFmtId="176" fontId="33" fillId="5" borderId="30" xfId="0" applyNumberFormat="1" applyFont="1" applyFill="1" applyBorder="1" applyAlignment="1">
      <alignment horizontal="center" vertical="center"/>
    </xf>
    <xf numFmtId="176" fontId="33" fillId="5" borderId="30" xfId="0" applyNumberFormat="1" applyFont="1" applyFill="1" applyBorder="1" applyAlignment="1">
      <alignment horizontal="center" vertical="center" wrapText="1"/>
    </xf>
    <xf numFmtId="176" fontId="35" fillId="4" borderId="30" xfId="0" applyNumberFormat="1" applyFont="1" applyFill="1" applyBorder="1" applyAlignment="1">
      <alignment vertical="center" wrapText="1" shrinkToFit="1"/>
    </xf>
    <xf numFmtId="176" fontId="28" fillId="4" borderId="30" xfId="0" applyNumberFormat="1" applyFont="1" applyFill="1" applyBorder="1" applyAlignment="1">
      <alignment horizontal="center" vertical="center"/>
    </xf>
    <xf numFmtId="176" fontId="35" fillId="4" borderId="30" xfId="0" applyNumberFormat="1" applyFont="1" applyFill="1" applyBorder="1" applyAlignment="1">
      <alignment horizontal="center" vertical="center" wrapText="1" shrinkToFit="1"/>
    </xf>
    <xf numFmtId="0" fontId="33" fillId="5" borderId="30" xfId="0" applyFont="1" applyFill="1" applyBorder="1" applyAlignment="1">
      <alignment horizontal="center" vertical="center" wrapText="1"/>
    </xf>
    <xf numFmtId="0" fontId="28" fillId="2" borderId="35" xfId="0" applyFont="1" applyFill="1" applyBorder="1" applyAlignment="1">
      <alignment horizontal="left" vertical="center" wrapText="1"/>
    </xf>
    <xf numFmtId="0" fontId="23" fillId="2" borderId="44" xfId="0" applyFont="1" applyFill="1" applyBorder="1" applyAlignment="1">
      <alignment horizontal="left" vertical="center" wrapText="1"/>
    </xf>
    <xf numFmtId="49" fontId="30" fillId="2" borderId="44" xfId="0" applyNumberFormat="1" applyFont="1" applyFill="1" applyBorder="1" applyAlignment="1">
      <alignment horizontal="center" vertical="center"/>
    </xf>
    <xf numFmtId="49" fontId="42" fillId="2" borderId="47" xfId="0" applyNumberFormat="1" applyFont="1" applyFill="1" applyBorder="1" applyAlignment="1">
      <alignment horizontal="center" vertical="center" wrapText="1"/>
    </xf>
    <xf numFmtId="0" fontId="28" fillId="5" borderId="40" xfId="0" applyFont="1" applyFill="1" applyBorder="1" applyAlignment="1">
      <alignment horizontal="center" vertical="center"/>
    </xf>
    <xf numFmtId="0" fontId="28" fillId="5" borderId="44" xfId="0" applyFont="1" applyFill="1" applyBorder="1" applyAlignment="1">
      <alignment horizontal="center" vertical="center"/>
    </xf>
    <xf numFmtId="0" fontId="28" fillId="5" borderId="21" xfId="0" applyFont="1" applyFill="1" applyBorder="1" applyAlignment="1">
      <alignment horizontal="center" vertical="center"/>
    </xf>
    <xf numFmtId="0" fontId="28" fillId="2" borderId="35" xfId="0" applyFont="1" applyFill="1" applyBorder="1" applyAlignment="1">
      <alignment horizontal="center" vertical="center"/>
    </xf>
    <xf numFmtId="0" fontId="28" fillId="0" borderId="21" xfId="0" applyFont="1" applyBorder="1" applyAlignment="1">
      <alignment horizontal="right" vertical="center"/>
    </xf>
    <xf numFmtId="0" fontId="30" fillId="0" borderId="35" xfId="0" applyFont="1" applyBorder="1" applyAlignment="1">
      <alignment horizontal="left" vertical="center"/>
    </xf>
    <xf numFmtId="0" fontId="28" fillId="2" borderId="2" xfId="0" applyFont="1" applyFill="1" applyBorder="1" applyAlignment="1">
      <alignment horizontal="center" vertical="center"/>
    </xf>
    <xf numFmtId="0" fontId="30" fillId="5" borderId="35" xfId="0" applyFont="1" applyFill="1" applyBorder="1" applyAlignment="1">
      <alignment horizontal="center" vertical="center"/>
    </xf>
    <xf numFmtId="176" fontId="34" fillId="2" borderId="30" xfId="0" applyNumberFormat="1" applyFont="1" applyFill="1" applyBorder="1" applyAlignment="1">
      <alignment horizontal="center" vertical="center"/>
    </xf>
    <xf numFmtId="176" fontId="34" fillId="2" borderId="35" xfId="0" applyNumberFormat="1" applyFont="1" applyFill="1" applyBorder="1" applyAlignment="1">
      <alignment horizontal="center" vertical="center"/>
    </xf>
    <xf numFmtId="176" fontId="6" fillId="2" borderId="35" xfId="0" applyNumberFormat="1" applyFont="1" applyFill="1" applyBorder="1" applyAlignment="1">
      <alignment horizontal="center" vertical="center"/>
    </xf>
    <xf numFmtId="176" fontId="6" fillId="2" borderId="2" xfId="0" applyNumberFormat="1" applyFont="1" applyFill="1" applyBorder="1" applyAlignment="1">
      <alignment horizontal="center" vertical="center"/>
    </xf>
    <xf numFmtId="0" fontId="0" fillId="4" borderId="52" xfId="0" applyFill="1" applyBorder="1" applyAlignment="1">
      <alignment horizontal="center" vertical="center" textRotation="255" wrapText="1"/>
    </xf>
    <xf numFmtId="0" fontId="4" fillId="4" borderId="53" xfId="0" applyFont="1" applyFill="1" applyBorder="1" applyAlignment="1">
      <alignment horizontal="center" vertical="center" textRotation="255" wrapText="1"/>
    </xf>
    <xf numFmtId="0" fontId="0" fillId="4" borderId="53" xfId="0" applyFill="1" applyBorder="1" applyAlignment="1">
      <alignment horizontal="center" vertical="center" wrapText="1"/>
    </xf>
    <xf numFmtId="0" fontId="0" fillId="4" borderId="55" xfId="0" applyFill="1" applyBorder="1" applyAlignment="1">
      <alignment horizontal="center" vertical="center" textRotation="255" wrapText="1"/>
    </xf>
    <xf numFmtId="0" fontId="4" fillId="4" borderId="53" xfId="0" applyFont="1" applyFill="1" applyBorder="1" applyAlignment="1">
      <alignment horizontal="center" vertical="center" wrapText="1"/>
    </xf>
    <xf numFmtId="176" fontId="0" fillId="3" borderId="52" xfId="0" applyNumberFormat="1" applyFill="1" applyBorder="1" applyAlignment="1">
      <alignment horizontal="center" vertical="center" textRotation="255" wrapText="1"/>
    </xf>
    <xf numFmtId="176" fontId="0" fillId="3" borderId="53" xfId="0" applyNumberFormat="1" applyFill="1" applyBorder="1" applyAlignment="1">
      <alignment horizontal="center" vertical="center" textRotation="255" wrapText="1"/>
    </xf>
    <xf numFmtId="176" fontId="0" fillId="3" borderId="55" xfId="0" applyNumberFormat="1" applyFill="1" applyBorder="1" applyAlignment="1">
      <alignment horizontal="center" vertical="center" textRotation="255" wrapText="1"/>
    </xf>
    <xf numFmtId="0" fontId="4" fillId="0" borderId="16" xfId="0" applyFont="1" applyBorder="1" applyAlignment="1">
      <alignment horizontal="left" vertical="center" wrapText="1"/>
    </xf>
    <xf numFmtId="0" fontId="4" fillId="0" borderId="16" xfId="0" applyFont="1" applyBorder="1" applyAlignment="1">
      <alignment vertical="center" wrapText="1"/>
    </xf>
    <xf numFmtId="0" fontId="7" fillId="0" borderId="16" xfId="0" applyFont="1" applyBorder="1" applyAlignment="1">
      <alignment vertical="center" wrapText="1"/>
    </xf>
    <xf numFmtId="0" fontId="25" fillId="0" borderId="16" xfId="0" applyFont="1" applyBorder="1" applyAlignment="1">
      <alignment vertical="center" wrapText="1"/>
    </xf>
    <xf numFmtId="0" fontId="11" fillId="0" borderId="16" xfId="0" applyFont="1" applyBorder="1" applyAlignment="1">
      <alignment vertical="center" wrapText="1"/>
    </xf>
    <xf numFmtId="0" fontId="2" fillId="0" borderId="16" xfId="0" applyFont="1" applyBorder="1" applyAlignment="1">
      <alignment vertical="center" wrapText="1"/>
    </xf>
    <xf numFmtId="0" fontId="38" fillId="6" borderId="24" xfId="0" applyFont="1" applyFill="1" applyBorder="1">
      <alignment vertical="center"/>
    </xf>
    <xf numFmtId="0" fontId="4" fillId="0" borderId="13" xfId="0" applyFont="1" applyBorder="1" applyAlignment="1">
      <alignment horizontal="center" vertical="center" wrapText="1" shrinkToFit="1"/>
    </xf>
    <xf numFmtId="0" fontId="4" fillId="2" borderId="56" xfId="0" quotePrefix="1" applyFont="1" applyFill="1" applyBorder="1" applyAlignment="1">
      <alignment vertical="center" wrapText="1"/>
    </xf>
    <xf numFmtId="0" fontId="28" fillId="0" borderId="54" xfId="0" applyFont="1" applyBorder="1" applyAlignment="1">
      <alignment horizontal="left" vertical="center" wrapText="1"/>
    </xf>
    <xf numFmtId="0" fontId="23" fillId="0" borderId="53" xfId="0" applyFont="1" applyBorder="1" applyAlignment="1">
      <alignment horizontal="left" vertical="center" wrapText="1"/>
    </xf>
    <xf numFmtId="49" fontId="30" fillId="0" borderId="53" xfId="0" applyNumberFormat="1" applyFont="1" applyBorder="1" applyAlignment="1">
      <alignment horizontal="center" vertical="center"/>
    </xf>
    <xf numFmtId="49" fontId="38" fillId="0" borderId="55" xfId="0" applyNumberFormat="1" applyFont="1" applyBorder="1" applyAlignment="1">
      <alignment horizontal="center" vertical="center" wrapText="1"/>
    </xf>
    <xf numFmtId="176" fontId="33" fillId="5" borderId="56" xfId="0" applyNumberFormat="1" applyFont="1" applyFill="1" applyBorder="1" applyAlignment="1">
      <alignment horizontal="center" vertical="center"/>
    </xf>
    <xf numFmtId="0" fontId="28" fillId="5" borderId="57" xfId="0" applyFont="1" applyFill="1" applyBorder="1" applyAlignment="1">
      <alignment horizontal="center" vertical="center"/>
    </xf>
    <xf numFmtId="0" fontId="28" fillId="5" borderId="54" xfId="0" applyFont="1" applyFill="1" applyBorder="1" applyAlignment="1">
      <alignment horizontal="center" vertical="center"/>
    </xf>
    <xf numFmtId="0" fontId="28" fillId="5" borderId="53" xfId="0" applyFont="1" applyFill="1" applyBorder="1" applyAlignment="1">
      <alignment horizontal="center" vertical="center"/>
    </xf>
    <xf numFmtId="0" fontId="30" fillId="5" borderId="54" xfId="0" applyFont="1" applyFill="1" applyBorder="1" applyAlignment="1">
      <alignment horizontal="center" vertical="center"/>
    </xf>
    <xf numFmtId="0" fontId="28" fillId="5" borderId="58" xfId="0" applyFont="1" applyFill="1" applyBorder="1" applyAlignment="1">
      <alignment horizontal="center" vertical="center"/>
    </xf>
    <xf numFmtId="176" fontId="28" fillId="5" borderId="59" xfId="0" applyNumberFormat="1" applyFont="1" applyFill="1" applyBorder="1" applyAlignment="1">
      <alignment horizontal="center" vertical="center"/>
    </xf>
    <xf numFmtId="0" fontId="28" fillId="5" borderId="58" xfId="0" applyFont="1" applyFill="1" applyBorder="1" applyAlignment="1">
      <alignment horizontal="right" vertical="center"/>
    </xf>
    <xf numFmtId="0" fontId="30" fillId="5" borderId="54" xfId="0" applyFont="1" applyFill="1" applyBorder="1" applyAlignment="1">
      <alignment horizontal="left" vertical="center"/>
    </xf>
    <xf numFmtId="0" fontId="28" fillId="4" borderId="56" xfId="0" applyFont="1" applyFill="1" applyBorder="1" applyAlignment="1">
      <alignment horizontal="center" vertical="center"/>
    </xf>
    <xf numFmtId="0" fontId="28" fillId="0" borderId="54" xfId="0" applyFont="1" applyBorder="1" applyAlignment="1">
      <alignment horizontal="center" vertical="center"/>
    </xf>
    <xf numFmtId="0" fontId="28" fillId="0" borderId="58" xfId="0" applyFont="1" applyBorder="1" applyAlignment="1">
      <alignment horizontal="center" vertical="center"/>
    </xf>
    <xf numFmtId="0" fontId="30" fillId="0" borderId="54" xfId="0" applyFont="1" applyBorder="1" applyAlignment="1">
      <alignment horizontal="center" vertical="center"/>
    </xf>
    <xf numFmtId="176" fontId="28" fillId="0" borderId="59" xfId="0" applyNumberFormat="1" applyFont="1" applyBorder="1" applyAlignment="1">
      <alignment horizontal="center" vertical="center"/>
    </xf>
    <xf numFmtId="176" fontId="34" fillId="5" borderId="56" xfId="0" applyNumberFormat="1" applyFont="1" applyFill="1" applyBorder="1" applyAlignment="1">
      <alignment horizontal="center" vertical="center"/>
    </xf>
    <xf numFmtId="176" fontId="34" fillId="5" borderId="54" xfId="0" applyNumberFormat="1" applyFont="1" applyFill="1" applyBorder="1" applyAlignment="1">
      <alignment horizontal="center" vertical="center"/>
    </xf>
    <xf numFmtId="176" fontId="6" fillId="5" borderId="54" xfId="0" applyNumberFormat="1" applyFont="1" applyFill="1" applyBorder="1" applyAlignment="1">
      <alignment horizontal="center" vertical="center"/>
    </xf>
    <xf numFmtId="176" fontId="6" fillId="5" borderId="59" xfId="0" applyNumberFormat="1" applyFont="1" applyFill="1" applyBorder="1" applyAlignment="1">
      <alignment horizontal="center" vertical="center"/>
    </xf>
    <xf numFmtId="176" fontId="34" fillId="0" borderId="56" xfId="0" applyNumberFormat="1" applyFont="1" applyBorder="1" applyAlignment="1">
      <alignment horizontal="center" vertical="center"/>
    </xf>
    <xf numFmtId="176" fontId="34" fillId="0" borderId="54" xfId="0" applyNumberFormat="1" applyFont="1" applyBorder="1" applyAlignment="1">
      <alignment horizontal="center" vertical="center"/>
    </xf>
    <xf numFmtId="176" fontId="6" fillId="0" borderId="54" xfId="0" applyNumberFormat="1" applyFont="1" applyBorder="1" applyAlignment="1">
      <alignment horizontal="center" vertical="center"/>
    </xf>
    <xf numFmtId="176" fontId="6" fillId="0" borderId="59" xfId="0" applyNumberFormat="1" applyFont="1" applyBorder="1" applyAlignment="1">
      <alignment horizontal="center" vertical="center"/>
    </xf>
    <xf numFmtId="0" fontId="4" fillId="0" borderId="60" xfId="0" applyFont="1" applyBorder="1" applyAlignment="1">
      <alignment vertical="center" wrapText="1"/>
    </xf>
    <xf numFmtId="0" fontId="44" fillId="0" borderId="35" xfId="0" applyFont="1" applyBorder="1" applyAlignment="1">
      <alignment vertical="center" wrapText="1"/>
    </xf>
    <xf numFmtId="0" fontId="9" fillId="0" borderId="36" xfId="0" applyFont="1" applyBorder="1" applyAlignment="1">
      <alignment horizontal="left" vertical="center" wrapText="1" shrinkToFit="1"/>
    </xf>
    <xf numFmtId="0" fontId="8" fillId="0" borderId="0" xfId="1" applyAlignment="1" applyProtection="1">
      <alignment horizontal="left" vertical="center" wrapText="1" shrinkToFit="1"/>
    </xf>
    <xf numFmtId="0" fontId="45" fillId="0" borderId="0" xfId="1" applyFont="1" applyAlignment="1" applyProtection="1">
      <alignment horizontal="left" vertical="center" wrapText="1" shrinkToFit="1"/>
    </xf>
    <xf numFmtId="0" fontId="46" fillId="0" borderId="0" xfId="1" applyFont="1" applyAlignment="1" applyProtection="1">
      <alignment horizontal="left" vertical="center" wrapText="1" shrinkToFit="1"/>
    </xf>
    <xf numFmtId="0" fontId="4" fillId="0" borderId="30" xfId="0" applyFont="1" applyBorder="1" applyAlignment="1">
      <alignment horizontal="left" vertical="center" wrapText="1" shrinkToFit="1"/>
    </xf>
    <xf numFmtId="0" fontId="4" fillId="0" borderId="31" xfId="0" applyFont="1" applyBorder="1" applyAlignment="1">
      <alignment horizontal="left" vertical="center" wrapText="1" shrinkToFit="1"/>
    </xf>
    <xf numFmtId="49" fontId="4" fillId="0" borderId="30" xfId="0" applyNumberFormat="1" applyFont="1" applyBorder="1" applyAlignment="1">
      <alignment horizontal="left" vertical="center" wrapText="1" shrinkToFit="1"/>
    </xf>
    <xf numFmtId="49" fontId="4" fillId="0" borderId="31" xfId="0" applyNumberFormat="1" applyFont="1" applyBorder="1" applyAlignment="1">
      <alignment horizontal="left" vertical="center" wrapText="1" shrinkToFit="1"/>
    </xf>
    <xf numFmtId="0" fontId="38" fillId="0" borderId="30" xfId="0" applyFont="1" applyBorder="1" applyAlignment="1">
      <alignment horizontal="left" vertical="center" wrapText="1" shrinkToFit="1"/>
    </xf>
    <xf numFmtId="0" fontId="9" fillId="0" borderId="15" xfId="0" applyFont="1" applyBorder="1" applyAlignment="1">
      <alignment horizontal="center" vertical="center" wrapText="1"/>
    </xf>
    <xf numFmtId="176" fontId="34" fillId="0" borderId="21" xfId="0" applyNumberFormat="1" applyFont="1" applyBorder="1" applyAlignment="1">
      <alignment horizontal="center" vertical="center"/>
    </xf>
    <xf numFmtId="0" fontId="9" fillId="12" borderId="35" xfId="0" applyFont="1" applyFill="1" applyBorder="1" applyAlignment="1">
      <alignment horizontal="left" vertical="center" wrapText="1" shrinkToFit="1"/>
    </xf>
    <xf numFmtId="0" fontId="0" fillId="12" borderId="0" xfId="0" applyFill="1">
      <alignment vertical="center"/>
    </xf>
    <xf numFmtId="0" fontId="23" fillId="12" borderId="35" xfId="0" applyFont="1" applyFill="1" applyBorder="1" applyAlignment="1">
      <alignment horizontal="left" vertical="center" wrapText="1"/>
    </xf>
    <xf numFmtId="49" fontId="4" fillId="0" borderId="35" xfId="0" applyNumberFormat="1" applyFont="1" applyBorder="1" applyAlignment="1">
      <alignment horizontal="left" vertical="center" wrapText="1" shrinkToFit="1"/>
    </xf>
    <xf numFmtId="0" fontId="28" fillId="0" borderId="46" xfId="0" applyFont="1" applyBorder="1" applyAlignment="1">
      <alignment horizontal="left" vertical="center" wrapText="1"/>
    </xf>
    <xf numFmtId="0" fontId="28" fillId="0" borderId="0" xfId="0" applyFont="1" applyAlignment="1">
      <alignment horizontal="left" vertical="center" wrapText="1"/>
    </xf>
    <xf numFmtId="0" fontId="3" fillId="0" borderId="46" xfId="0" applyFont="1" applyBorder="1" applyAlignment="1">
      <alignment vertical="center" wrapText="1"/>
    </xf>
    <xf numFmtId="0" fontId="28" fillId="0" borderId="21" xfId="0" applyFont="1" applyBorder="1" applyAlignment="1">
      <alignment horizontal="left" vertical="center" wrapText="1"/>
    </xf>
    <xf numFmtId="0" fontId="32" fillId="0" borderId="0" xfId="0" applyFont="1" applyAlignment="1">
      <alignment horizontal="center" vertical="center"/>
    </xf>
    <xf numFmtId="0" fontId="14" fillId="12" borderId="7" xfId="1" applyFont="1" applyFill="1" applyBorder="1" applyAlignment="1" applyProtection="1">
      <alignment horizontal="center" vertical="center"/>
    </xf>
    <xf numFmtId="0" fontId="14" fillId="12" borderId="8" xfId="1" applyFont="1" applyFill="1" applyBorder="1" applyAlignment="1" applyProtection="1">
      <alignment horizontal="center" vertical="center"/>
    </xf>
    <xf numFmtId="0" fontId="14" fillId="12" borderId="9" xfId="1" applyFont="1" applyFill="1" applyBorder="1" applyAlignment="1" applyProtection="1">
      <alignment horizontal="center" vertical="center"/>
    </xf>
    <xf numFmtId="0" fontId="41" fillId="15" borderId="11" xfId="0" applyFont="1" applyFill="1" applyBorder="1" applyAlignment="1">
      <alignment horizontal="center" vertical="center" wrapText="1"/>
    </xf>
    <xf numFmtId="0" fontId="41" fillId="15" borderId="43" xfId="0" applyFont="1" applyFill="1" applyBorder="1" applyAlignment="1">
      <alignment horizontal="center" vertical="center"/>
    </xf>
    <xf numFmtId="0" fontId="41" fillId="15" borderId="12" xfId="0" applyFont="1" applyFill="1" applyBorder="1" applyAlignment="1">
      <alignment horizontal="center" vertical="center"/>
    </xf>
    <xf numFmtId="176" fontId="41" fillId="14" borderId="10" xfId="0" applyNumberFormat="1" applyFont="1" applyFill="1" applyBorder="1" applyAlignment="1">
      <alignment horizontal="center" vertical="center" wrapText="1"/>
    </xf>
    <xf numFmtId="176" fontId="37" fillId="0" borderId="17" xfId="0" applyNumberFormat="1" applyFont="1" applyBorder="1" applyAlignment="1">
      <alignment horizontal="center" vertical="center"/>
    </xf>
    <xf numFmtId="176" fontId="37" fillId="0" borderId="18" xfId="0" applyNumberFormat="1" applyFont="1" applyBorder="1" applyAlignment="1">
      <alignment horizontal="center" vertical="center"/>
    </xf>
    <xf numFmtId="0" fontId="0" fillId="13" borderId="12" xfId="0" applyFill="1" applyBorder="1" applyAlignment="1">
      <alignment horizontal="center" vertical="center" textRotation="255" wrapText="1"/>
    </xf>
    <xf numFmtId="0" fontId="0" fillId="13" borderId="14" xfId="0" applyFill="1" applyBorder="1" applyAlignment="1">
      <alignment horizontal="center" vertical="center" textRotation="255" wrapText="1"/>
    </xf>
    <xf numFmtId="0" fontId="0" fillId="13" borderId="13" xfId="0" applyFill="1" applyBorder="1" applyAlignment="1">
      <alignment horizontal="center" vertical="center" textRotation="255" wrapText="1"/>
    </xf>
    <xf numFmtId="0" fontId="0" fillId="4" borderId="38" xfId="0" applyFill="1" applyBorder="1" applyAlignment="1">
      <alignment horizontal="center" vertical="center" textRotation="255" wrapText="1"/>
    </xf>
    <xf numFmtId="0" fontId="0" fillId="4" borderId="30" xfId="0" applyFill="1" applyBorder="1" applyAlignment="1">
      <alignment horizontal="center" vertical="center" textRotation="255" wrapText="1"/>
    </xf>
    <xf numFmtId="0" fontId="4" fillId="4" borderId="39" xfId="0" applyFont="1" applyFill="1" applyBorder="1" applyAlignment="1">
      <alignment horizontal="center" vertical="center" textRotation="255" wrapText="1"/>
    </xf>
    <xf numFmtId="0" fontId="4" fillId="4" borderId="40" xfId="0" applyFont="1" applyFill="1" applyBorder="1" applyAlignment="1">
      <alignment horizontal="center" vertical="center" textRotation="255" wrapText="1"/>
    </xf>
    <xf numFmtId="0" fontId="0" fillId="4" borderId="20"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1" xfId="0" applyFill="1" applyBorder="1" applyAlignment="1">
      <alignment horizontal="center" vertical="center" textRotation="255" wrapText="1"/>
    </xf>
    <xf numFmtId="0" fontId="0" fillId="4" borderId="2" xfId="0" applyFill="1" applyBorder="1" applyAlignment="1">
      <alignment horizontal="center" vertical="center" textRotation="255" wrapText="1"/>
    </xf>
    <xf numFmtId="176" fontId="0" fillId="9" borderId="38" xfId="0" applyNumberFormat="1" applyFill="1" applyBorder="1" applyAlignment="1">
      <alignment horizontal="center" vertical="center" textRotation="255" wrapText="1"/>
    </xf>
    <xf numFmtId="176" fontId="0" fillId="9" borderId="29" xfId="0" applyNumberFormat="1" applyFill="1" applyBorder="1" applyAlignment="1">
      <alignment horizontal="center" vertical="center" textRotation="255" wrapText="1"/>
    </xf>
    <xf numFmtId="176" fontId="0" fillId="9" borderId="42" xfId="0" applyNumberFormat="1" applyFill="1" applyBorder="1" applyAlignment="1">
      <alignment horizontal="center" vertical="center" textRotation="255" wrapText="1"/>
    </xf>
    <xf numFmtId="176" fontId="0" fillId="9" borderId="34" xfId="0" applyNumberFormat="1" applyFill="1" applyBorder="1" applyAlignment="1">
      <alignment horizontal="center" vertical="center" textRotation="255" wrapText="1"/>
    </xf>
    <xf numFmtId="0" fontId="0" fillId="11" borderId="4" xfId="0" applyFill="1" applyBorder="1" applyAlignment="1">
      <alignment horizontal="center" vertic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176" fontId="0" fillId="9" borderId="1" xfId="0" applyNumberFormat="1" applyFill="1" applyBorder="1" applyAlignment="1">
      <alignment horizontal="center" vertical="center" textRotation="255" wrapText="1"/>
    </xf>
    <xf numFmtId="176" fontId="0" fillId="9" borderId="13" xfId="0" applyNumberFormat="1" applyFill="1" applyBorder="1" applyAlignment="1">
      <alignment horizontal="center" vertical="center" textRotation="255" wrapText="1"/>
    </xf>
    <xf numFmtId="0" fontId="0" fillId="4" borderId="20" xfId="0" applyFill="1" applyBorder="1" applyAlignment="1">
      <alignment horizontal="center" vertical="center" textRotation="255" wrapText="1"/>
    </xf>
    <xf numFmtId="0" fontId="0" fillId="4" borderId="21" xfId="0" applyFill="1" applyBorder="1" applyAlignment="1">
      <alignment horizontal="center" vertical="center" textRotation="255" wrapText="1"/>
    </xf>
    <xf numFmtId="0" fontId="0" fillId="4" borderId="42" xfId="0" applyFill="1" applyBorder="1" applyAlignment="1">
      <alignment horizontal="center" vertical="center" textRotation="255" wrapText="1"/>
    </xf>
    <xf numFmtId="0" fontId="0" fillId="4" borderId="35" xfId="0" applyFill="1" applyBorder="1" applyAlignment="1">
      <alignment horizontal="center" vertical="center" textRotation="255" wrapText="1"/>
    </xf>
    <xf numFmtId="0" fontId="4" fillId="4" borderId="39"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0" fillId="4" borderId="41" xfId="0" applyFill="1" applyBorder="1" applyAlignment="1">
      <alignment horizontal="center" vertical="center" wrapText="1"/>
    </xf>
    <xf numFmtId="0" fontId="0" fillId="0" borderId="22" xfId="0" applyBorder="1" applyAlignment="1">
      <alignment horizontal="center" vertical="center" textRotation="255" wrapText="1"/>
    </xf>
    <xf numFmtId="0" fontId="0" fillId="0" borderId="23" xfId="0" applyBorder="1" applyAlignment="1">
      <alignment horizontal="center" vertical="center" textRotation="255" wrapText="1"/>
    </xf>
    <xf numFmtId="0" fontId="0" fillId="0" borderId="24"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3" xfId="0" applyBorder="1" applyAlignment="1">
      <alignment horizontal="center" vertical="center" textRotation="255" wrapText="1"/>
    </xf>
    <xf numFmtId="0" fontId="0" fillId="13" borderId="27" xfId="0" applyFill="1" applyBorder="1" applyAlignment="1">
      <alignment horizontal="center" vertical="center" textRotation="255" wrapText="1"/>
    </xf>
    <xf numFmtId="0" fontId="0" fillId="13" borderId="28" xfId="0" applyFill="1" applyBorder="1" applyAlignment="1">
      <alignment horizontal="center" vertical="center" textRotation="255" wrapText="1"/>
    </xf>
    <xf numFmtId="0" fontId="0" fillId="13" borderId="29" xfId="0" applyFill="1" applyBorder="1" applyAlignment="1">
      <alignment horizontal="center" vertical="center" textRotation="255" wrapText="1"/>
    </xf>
    <xf numFmtId="0" fontId="0" fillId="13" borderId="32" xfId="0" applyFill="1" applyBorder="1" applyAlignment="1">
      <alignment horizontal="center" vertical="center" textRotation="255" wrapText="1"/>
    </xf>
    <xf numFmtId="0" fontId="0" fillId="13" borderId="33" xfId="0" applyFill="1" applyBorder="1" applyAlignment="1">
      <alignment horizontal="center" vertical="center" textRotation="255" wrapText="1"/>
    </xf>
    <xf numFmtId="0" fontId="0" fillId="13" borderId="34" xfId="0" applyFill="1" applyBorder="1" applyAlignment="1">
      <alignment horizontal="center" vertical="center" textRotation="255" wrapText="1"/>
    </xf>
    <xf numFmtId="49" fontId="0" fillId="13" borderId="32" xfId="0" applyNumberFormat="1" applyFill="1" applyBorder="1" applyAlignment="1">
      <alignment horizontal="center" vertical="center" textRotation="255" wrapText="1"/>
    </xf>
    <xf numFmtId="49" fontId="0" fillId="13" borderId="33" xfId="0" applyNumberFormat="1" applyFill="1" applyBorder="1" applyAlignment="1">
      <alignment horizontal="center" vertical="center" textRotation="255" wrapText="1"/>
    </xf>
    <xf numFmtId="49" fontId="0" fillId="13" borderId="34" xfId="0" applyNumberFormat="1" applyFill="1" applyBorder="1" applyAlignment="1">
      <alignment horizontal="center" vertical="center" textRotation="255" wrapText="1"/>
    </xf>
    <xf numFmtId="0" fontId="0" fillId="4" borderId="53" xfId="0" applyFill="1" applyBorder="1" applyAlignment="1">
      <alignment horizontal="center" vertical="center" wrapText="1"/>
    </xf>
    <xf numFmtId="0" fontId="0" fillId="4" borderId="54" xfId="0" applyFill="1" applyBorder="1" applyAlignment="1">
      <alignment horizontal="center" vertical="center" wrapText="1"/>
    </xf>
    <xf numFmtId="0" fontId="33" fillId="15" borderId="10" xfId="0" applyFont="1" applyFill="1" applyBorder="1" applyAlignment="1">
      <alignment horizontal="center" vertical="center" wrapText="1"/>
    </xf>
    <xf numFmtId="0" fontId="33" fillId="15" borderId="10" xfId="0" applyFont="1" applyFill="1" applyBorder="1" applyAlignment="1">
      <alignment horizontal="center" vertical="center"/>
    </xf>
    <xf numFmtId="0" fontId="0" fillId="13" borderId="27" xfId="0" applyFill="1" applyBorder="1" applyAlignment="1">
      <alignment horizontal="center" vertical="center" textRotation="255"/>
    </xf>
    <xf numFmtId="0" fontId="0" fillId="13" borderId="29" xfId="0" applyFill="1" applyBorder="1" applyAlignment="1">
      <alignment horizontal="center" vertical="center" textRotation="255"/>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13" borderId="50" xfId="0" applyFill="1" applyBorder="1" applyAlignment="1">
      <alignment horizontal="center" vertical="center" textRotation="255" wrapText="1"/>
    </xf>
    <xf numFmtId="0" fontId="0" fillId="13" borderId="51" xfId="0" applyFill="1" applyBorder="1" applyAlignment="1">
      <alignment horizontal="center" vertical="center" textRotation="255" wrapText="1"/>
    </xf>
    <xf numFmtId="49" fontId="0" fillId="13" borderId="49" xfId="0" applyNumberFormat="1" applyFill="1" applyBorder="1" applyAlignment="1">
      <alignment horizontal="center" vertical="center" textRotation="255" wrapText="1"/>
    </xf>
    <xf numFmtId="49" fontId="0" fillId="13" borderId="19" xfId="0" applyNumberFormat="1" applyFill="1" applyBorder="1" applyAlignment="1">
      <alignment horizontal="center" vertical="center" textRotation="255" wrapText="1"/>
    </xf>
    <xf numFmtId="0" fontId="0" fillId="13" borderId="49" xfId="0" applyFill="1" applyBorder="1" applyAlignment="1">
      <alignment horizontal="center" vertical="center" textRotation="255" wrapText="1"/>
    </xf>
    <xf numFmtId="0" fontId="0" fillId="13" borderId="19" xfId="0" applyFill="1" applyBorder="1" applyAlignment="1">
      <alignment horizontal="center" vertical="center" textRotation="255" wrapText="1"/>
    </xf>
  </cellXfs>
  <cellStyles count="3">
    <cellStyle name="ハイパーリンク" xfId="1" builtinId="8"/>
    <cellStyle name="通貨" xfId="2" builtinId="7"/>
    <cellStyle name="標準" xfId="0" builtinId="0"/>
  </cellStyles>
  <dxfs count="0"/>
  <tableStyles count="0" defaultTableStyle="TableStyleMedium2"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F200"/>
  <sheetViews>
    <sheetView showGridLines="0" showRowColHeaders="0" tabSelected="1" zoomScale="190" zoomScaleNormal="190" workbookViewId="0">
      <pane ySplit="3" topLeftCell="A4" activePane="bottomLeft" state="frozen"/>
      <selection pane="bottomLeft" activeCell="B1" sqref="B1:E1"/>
    </sheetView>
  </sheetViews>
  <sheetFormatPr defaultColWidth="0" defaultRowHeight="12.75" zeroHeight="1"/>
  <cols>
    <col min="1" max="1" width="1.125" style="5" customWidth="1"/>
    <col min="2" max="2" width="12.125" style="9" customWidth="1"/>
    <col min="3" max="3" width="25.5" style="9" customWidth="1"/>
    <col min="4" max="4" width="8.375" style="13" customWidth="1"/>
    <col min="5" max="5" width="15.5" style="9" customWidth="1"/>
    <col min="6" max="6" width="1.125" style="5" customWidth="1"/>
    <col min="7" max="16384" width="0" style="5" hidden="1"/>
  </cols>
  <sheetData>
    <row r="1" spans="2:5" ht="18">
      <c r="B1" s="343" t="s">
        <v>127</v>
      </c>
      <c r="C1" s="343"/>
      <c r="D1" s="343"/>
      <c r="E1" s="343"/>
    </row>
    <row r="2" spans="2:5" ht="6" customHeight="1"/>
    <row r="3" spans="2:5">
      <c r="B3" s="8" t="s">
        <v>128</v>
      </c>
      <c r="C3" s="7" t="s">
        <v>160</v>
      </c>
      <c r="D3" s="14" t="s">
        <v>144</v>
      </c>
      <c r="E3" s="7" t="s">
        <v>143</v>
      </c>
    </row>
    <row r="4" spans="2:5">
      <c r="B4" s="9" t="s">
        <v>173</v>
      </c>
      <c r="C4" s="10" t="str">
        <f>HYPERLINK("#2009年度以降の試験結果一覧!D"&amp;MATCH("エアグルーヴ*",'2009年度以降の試験結果一覧'!D:D,0),"エアグルーヴ")</f>
        <v>エアグルーヴ</v>
      </c>
      <c r="D4" s="13" t="s">
        <v>167</v>
      </c>
      <c r="E4" s="12" t="s">
        <v>146</v>
      </c>
    </row>
    <row r="5" spans="2:5">
      <c r="B5" s="9" t="s">
        <v>136</v>
      </c>
      <c r="C5" s="10" t="str">
        <f>HYPERLINK("#2009年度以降の試験結果一覧!D"&amp;MATCH("クルリラ [ISO-FIX固定]",'2009年度以降の試験結果一覧'!D:D,0),"クルリラ　[ISO-FIX固定]")</f>
        <v>クルリラ　[ISO-FIX固定]</v>
      </c>
      <c r="D5" s="18" t="s">
        <v>166</v>
      </c>
      <c r="E5" s="19" t="s">
        <v>153</v>
      </c>
    </row>
    <row r="6" spans="2:5">
      <c r="B6" s="9" t="s">
        <v>136</v>
      </c>
      <c r="C6" s="10" t="str">
        <f>HYPERLINK("#2009年度以降の試験結果一覧!D"&amp;MATCH("クルリラ [ベルト固定]",'2009年度以降の試験結果一覧'!D:D,0),"クルリラ　[ベルト固定]")</f>
        <v>クルリラ　[ベルト固定]</v>
      </c>
      <c r="D6" s="18" t="s">
        <v>166</v>
      </c>
      <c r="E6" s="19" t="s">
        <v>153</v>
      </c>
    </row>
    <row r="7" spans="2:5">
      <c r="B7" s="9" t="s">
        <v>136</v>
      </c>
      <c r="C7" s="10" t="str">
        <f>HYPERLINK("#2009年度以降の試験結果一覧!D"&amp;MATCH("クルリラ エックス プラス AB",'2009年度以降の試験結果一覧'!D:D,0),"クルリラ エックス プラス AB")</f>
        <v>クルリラ エックス プラス AB</v>
      </c>
      <c r="D7" s="17" t="s">
        <v>145</v>
      </c>
      <c r="E7" s="19" t="s">
        <v>153</v>
      </c>
    </row>
    <row r="8" spans="2:5">
      <c r="B8" s="9" t="s">
        <v>136</v>
      </c>
      <c r="C8" s="10" t="str">
        <f>HYPERLINK("#2009年度以降の試験結果一覧!D"&amp;MATCH("クルリラ ビッテ エックス*",'2009年度以降の試験結果一覧'!D:D,0),"クルリラ ビッテ エックス")</f>
        <v>クルリラ ビッテ エックス</v>
      </c>
      <c r="D8" s="17" t="s">
        <v>145</v>
      </c>
      <c r="E8" s="19" t="s">
        <v>153</v>
      </c>
    </row>
    <row r="9" spans="2:5">
      <c r="B9" s="9" t="s">
        <v>136</v>
      </c>
      <c r="C9" s="10" t="str">
        <f>HYPERLINK("#2009年度以降の試験結果一覧!D"&amp;MATCH("クルリラ ビッテ エックス AB*",'2009年度以降の試験結果一覧'!D:D,0),"クルリラ ビッテ エックス AB")</f>
        <v>クルリラ ビッテ エックス AB</v>
      </c>
      <c r="D9" s="17" t="s">
        <v>145</v>
      </c>
      <c r="E9" s="19" t="s">
        <v>153</v>
      </c>
    </row>
    <row r="10" spans="2:5">
      <c r="B10" s="9" t="s">
        <v>136</v>
      </c>
      <c r="C10" s="10" t="str">
        <f>HYPERLINK("#2009年度以降の試験結果一覧!D"&amp;MATCH("クルリラ ビッテ エックス プラス",'2009年度以降の試験結果一覧'!D:D,0),"クルリラ ビッテ エックス プラス")</f>
        <v>クルリラ ビッテ エックス プラス</v>
      </c>
      <c r="D10" s="17" t="s">
        <v>573</v>
      </c>
      <c r="E10" s="19" t="s">
        <v>574</v>
      </c>
    </row>
    <row r="11" spans="2:5">
      <c r="B11" s="9" t="s">
        <v>136</v>
      </c>
      <c r="C11" s="10" t="str">
        <f>HYPERLINK("#2009年度以降の試験結果一覧!D"&amp;MATCH("クルリラ ビッテ エックス プラス AB",'2009年度以降の試験結果一覧'!D:D,0),"クルリラ ビッテ エックス プラス AB")</f>
        <v>クルリラ ビッテ エックス プラス AB</v>
      </c>
      <c r="D11" s="17" t="s">
        <v>145</v>
      </c>
      <c r="E11" s="19" t="s">
        <v>574</v>
      </c>
    </row>
    <row r="12" spans="2:5">
      <c r="B12" s="9" t="s">
        <v>136</v>
      </c>
      <c r="C12" s="10" t="str">
        <f>HYPERLINK("#2009年度以降の試験結果一覧!D"&amp;MATCH("クルリラ プラス 360°セーフティー*",'2009年度以降の試験結果一覧'!D:D,0),"クルリラ プラス 360°セーフティー")</f>
        <v>クルリラ プラス 360°セーフティー</v>
      </c>
      <c r="D12" s="17" t="s">
        <v>145</v>
      </c>
      <c r="E12" s="19" t="s">
        <v>153</v>
      </c>
    </row>
    <row r="13" spans="2:5">
      <c r="B13" s="9" t="s">
        <v>136</v>
      </c>
      <c r="C13" s="10" t="str">
        <f>HYPERLINK("#2009年度以降の試験結果一覧!D"&amp;MATCH("クルリラ プロテクト",'2009年度以降の試験結果一覧'!D:D,0),"クルリラ プロテクト")</f>
        <v>クルリラ プロテクト</v>
      </c>
      <c r="D13" s="17" t="s">
        <v>145</v>
      </c>
      <c r="E13" s="19" t="s">
        <v>153</v>
      </c>
    </row>
    <row r="14" spans="2:5">
      <c r="B14" s="9" t="s">
        <v>136</v>
      </c>
      <c r="C14" s="10" t="str">
        <f>HYPERLINK("#2009年度以降の試験結果一覧!D"&amp;MATCH("*G-FIX [ISO-FIX固定]",'2009年度以降の試験結果一覧'!D:D,0),"グレコ・G-FIX　[ISO-FIX固定]")</f>
        <v>グレコ・G-FIX　[ISO-FIX固定]</v>
      </c>
      <c r="D14" s="18" t="s">
        <v>166</v>
      </c>
      <c r="E14" s="19" t="s">
        <v>153</v>
      </c>
    </row>
    <row r="15" spans="2:5">
      <c r="B15" s="9" t="s">
        <v>136</v>
      </c>
      <c r="C15" s="10" t="str">
        <f>HYPERLINK("#2009年度以降の試験結果一覧!D"&amp;MATCH("*G-FIX [ベルト固定]*",'2009年度以降の試験結果一覧'!D:D,0),"グレコ・G-FIX　[ベルト固定]")</f>
        <v>グレコ・G-FIX　[ベルト固定]</v>
      </c>
      <c r="D15" s="18" t="s">
        <v>166</v>
      </c>
      <c r="E15" s="19" t="s">
        <v>153</v>
      </c>
    </row>
    <row r="16" spans="2:5">
      <c r="B16" s="9" t="s">
        <v>136</v>
      </c>
      <c r="C16" s="10" t="str">
        <f>HYPERLINK("#2009年度以降の試験結果一覧!D"&amp;MATCH("グレコ・GT*",'2009年度以降の試験結果一覧'!D:D,0),"グレコ・GT")</f>
        <v>グレコ・GT</v>
      </c>
      <c r="D16" s="13" t="s">
        <v>167</v>
      </c>
      <c r="E16" s="19" t="s">
        <v>153</v>
      </c>
    </row>
    <row r="17" spans="2:6">
      <c r="B17" s="9" t="s">
        <v>136</v>
      </c>
      <c r="C17" s="10" t="str">
        <f>HYPERLINK("#2009年度以降の試験結果一覧!D"&amp;MATCH("*マイルストーン*",'2009年度以降の試験結果一覧'!D:D,0),"グレコ・マイルストーン")</f>
        <v>グレコ・マイルストーン</v>
      </c>
      <c r="D17" s="13" t="s">
        <v>167</v>
      </c>
      <c r="E17" s="19" t="s">
        <v>153</v>
      </c>
    </row>
    <row r="18" spans="2:6">
      <c r="B18" s="9" t="s">
        <v>136</v>
      </c>
      <c r="C18" s="10" t="str">
        <f>HYPERLINK("#2008年度以前の試験結果一覧!D"&amp;MATCH("*ムービングサポート*",'2008年度以前の試験結果一覧'!D:D,0),"チャイルド&amp;ジュニアシートムービングサポート")</f>
        <v>チャイルド&amp;ジュニアシートムービングサポート</v>
      </c>
      <c r="D18" s="13" t="s">
        <v>152</v>
      </c>
      <c r="E18" s="12" t="s">
        <v>146</v>
      </c>
    </row>
    <row r="19" spans="2:6">
      <c r="B19" s="9" t="s">
        <v>136</v>
      </c>
      <c r="C19" s="326" t="str">
        <f t="array" ref="C19">HYPERLINK("#2009年度以降の試験結果一覧!D"&amp;MATCH("フラディア グロウ ISOFIX*"&amp;17,'2009年度以降の試験結果一覧'!D:D&amp;'2009年度以降の試験結果一覧'!F:F,0),"ディアターン プラス ISOFIX(試験:ﾌﾗﾃﾞｨｱｸﾞﾛｳISOFIX)")</f>
        <v>ディアターン プラス ISOFIX(試験:ﾌﾗﾃﾞｨｱｸﾞﾛｳISOFIX)</v>
      </c>
      <c r="D19" s="17" t="s">
        <v>145</v>
      </c>
      <c r="E19" s="19" t="s">
        <v>153</v>
      </c>
    </row>
    <row r="20" spans="2:6">
      <c r="B20" s="9" t="s">
        <v>136</v>
      </c>
      <c r="C20" s="10" t="str">
        <f>HYPERLINK("#2008年度以前の試験結果一覧!D"&amp;MATCH("*イージーターン６００*",'2008年度以前の試験結果一覧'!D:D,0),"ニューボーンベッドイージーターン600")</f>
        <v>ニューボーンベッドイージーターン600</v>
      </c>
      <c r="D20" s="13" t="s">
        <v>152</v>
      </c>
      <c r="E20" s="19" t="s">
        <v>153</v>
      </c>
    </row>
    <row r="21" spans="2:6" ht="21">
      <c r="B21" s="9" t="s">
        <v>136</v>
      </c>
      <c r="C21" s="325" t="str">
        <f>HYPERLINK("#2008年度以前の試験結果一覧!D"&amp;MATCH("*サーモ１０００*",'2008年度以前の試験結果一覧'!D:D,0),"ニューボーンベッドイージーターンWエアーサーモ1000")</f>
        <v>ニューボーンベッドイージーターンWエアーサーモ1000</v>
      </c>
      <c r="D21" s="13" t="s">
        <v>152</v>
      </c>
      <c r="E21" s="19" t="s">
        <v>153</v>
      </c>
    </row>
    <row r="22" spans="2:6">
      <c r="B22" s="9" t="s">
        <v>136</v>
      </c>
      <c r="C22" s="10" t="str">
        <f>HYPERLINK("#2008年度以前の試験結果一覧!D"&amp;MATCH("*ワイド＆ロング*",'2008年度以前の試験結果一覧'!D:D,0),"ニューボーンベッドワイド＆ロング")</f>
        <v>ニューボーンベッドワイド＆ロング</v>
      </c>
      <c r="D22" s="13" t="s">
        <v>152</v>
      </c>
      <c r="E22" s="19" t="s">
        <v>153</v>
      </c>
      <c r="F22" s="6"/>
    </row>
    <row r="23" spans="2:6">
      <c r="B23" s="9" t="s">
        <v>149</v>
      </c>
      <c r="C23" s="10" t="str">
        <f t="array" ref="C23">HYPERLINK("#2009年度以降の試験結果一覧!D"&amp;MATCH("フォームフィット*"&amp;18,'2009年度以降の試験結果一覧'!D:D&amp;'2009年度以降の試験結果一覧'!F:F,0),"フォームフィット")</f>
        <v>フォームフィット</v>
      </c>
      <c r="D23" s="17" t="s">
        <v>150</v>
      </c>
      <c r="E23" s="12" t="s">
        <v>146</v>
      </c>
    </row>
    <row r="24" spans="2:6">
      <c r="B24" s="9" t="s">
        <v>136</v>
      </c>
      <c r="C24" s="10" t="str">
        <f>HYPERLINK("#2009年度以降の試験結果一覧!D"&amp;MATCH("フォームフィット ネクスト",'2009年度以降の試験結果一覧'!D:D,0),"フォームフィット ネクスト")</f>
        <v>フォームフィット ネクスト</v>
      </c>
      <c r="D24" s="17" t="s">
        <v>145</v>
      </c>
      <c r="E24" s="12" t="s">
        <v>146</v>
      </c>
    </row>
    <row r="25" spans="2:6">
      <c r="B25" s="9" t="s">
        <v>136</v>
      </c>
      <c r="C25" s="16" t="str">
        <f t="array" ref="C25">HYPERLINK("#2009年度以降の試験結果一覧!D"&amp;MATCH("フォームフィット ISOFIX 360°セーフティー*",'2009年度以降の試験結果一覧'!D:D,0),"フォームフィット ISOFIX 360°セーフティー")</f>
        <v>フォームフィット ISOFIX 360°セーフティー</v>
      </c>
      <c r="D25" s="17" t="s">
        <v>145</v>
      </c>
      <c r="E25" s="12" t="s">
        <v>146</v>
      </c>
    </row>
    <row r="26" spans="2:6" ht="19.5">
      <c r="B26" s="9" t="s">
        <v>136</v>
      </c>
      <c r="C26" s="327" t="str">
        <f t="array" ref="C26">HYPERLINK("#2009年度以降の試験結果一覧!D"&amp;MATCH("フォームフィット ISOFIX 360°セーフティー*",'2009年度以降の試験結果一覧'!D:D,0),"フォームフィット ISOFIX セーフティープラス(試験:ﾌｫｰﾑﾌｨｯﾄISOFIX360°ｾｰﾌﾃｨｰ)")</f>
        <v>フォームフィット ISOFIX セーフティープラス(試験:ﾌｫｰﾑﾌｨｯﾄISOFIX360°ｾｰﾌﾃｨｰ)</v>
      </c>
      <c r="D26" s="17" t="s">
        <v>145</v>
      </c>
      <c r="E26" s="12" t="s">
        <v>146</v>
      </c>
    </row>
    <row r="27" spans="2:6">
      <c r="B27" s="9" t="s">
        <v>172</v>
      </c>
      <c r="C27" s="10" t="str">
        <f t="array" ref="C27">HYPERLINK("#2009年度以降の試験結果一覧!D"&amp;MATCH("*045087"&amp;"フラディア*",'2009年度以降の試験結果一覧'!C:C&amp;'2009年度以降の試験結果一覧'!D:D,0),"フラディア")</f>
        <v>フラディア</v>
      </c>
      <c r="D27" s="13" t="s">
        <v>167</v>
      </c>
      <c r="E27" s="19" t="s">
        <v>153</v>
      </c>
    </row>
    <row r="28" spans="2:6">
      <c r="B28" s="9" t="s">
        <v>136</v>
      </c>
      <c r="C28" s="10" t="str">
        <f t="array" ref="C28">HYPERLINK("#2009年度以降の試験結果一覧!D"&amp;MATCH("フラディア グロウ*"&amp;16,'2009年度以降の試験結果一覧'!D:D&amp;'2009年度以降の試験結果一覧'!F:F,0),"フラディア グロウ")</f>
        <v>フラディア グロウ</v>
      </c>
      <c r="D28" s="13" t="s">
        <v>167</v>
      </c>
      <c r="E28" s="19" t="s">
        <v>153</v>
      </c>
    </row>
    <row r="29" spans="2:6">
      <c r="B29" s="9" t="s">
        <v>147</v>
      </c>
      <c r="C29" s="10" t="str">
        <f t="array" ref="C29">HYPERLINK("#2009年度以降の試験結果一覧!D"&amp;MATCH("フラディア グロウ ISOFIX*"&amp;17,'2009年度以降の試験結果一覧'!D:D&amp;'2009年度以降の試験結果一覧'!F:F,0),"フラディア グロウ ISOFIX")</f>
        <v>フラディア グロウ ISOFIX</v>
      </c>
      <c r="D29" s="17" t="s">
        <v>148</v>
      </c>
      <c r="E29" s="19" t="s">
        <v>153</v>
      </c>
    </row>
    <row r="30" spans="2:6">
      <c r="B30" s="9" t="s">
        <v>136</v>
      </c>
      <c r="C30" s="10" t="str">
        <f t="array" ref="C30">HYPERLINK("#2009年度以降の試験結果一覧!D"&amp;MATCH("フラディア グロウ ISOFIX 360°セーフティー*"&amp;19,'2009年度以降の試験結果一覧'!D:D&amp;'2009年度以降の試験結果一覧'!F:F,0),"フラディア グロウ ISOFIX 360°セーフティー")</f>
        <v>フラディア グロウ ISOFIX 360°セーフティー</v>
      </c>
      <c r="D30" s="17" t="s">
        <v>145</v>
      </c>
      <c r="E30" s="19" t="s">
        <v>153</v>
      </c>
    </row>
    <row r="31" spans="2:6" ht="19.5">
      <c r="B31" s="9" t="s">
        <v>136</v>
      </c>
      <c r="C31" s="326" t="str">
        <f t="array" ref="C31">HYPERLINK("#2009年度以降の試験結果一覧!D"&amp;MATCH("フラディア グロウ ISOFIX 360°セーフティー*"&amp;19,'2009年度以降の試験結果一覧'!D:D&amp;'2009年度以降の試験結果一覧'!F:F,0),"フラディア グロウ ISOFIX セーフティープラス(試験:ﾌﾗﾃﾞｨｱｸﾞﾛｳISOFIX360°ｾｰﾌﾃｨ)")</f>
        <v>フラディア グロウ ISOFIX セーフティープラス(試験:ﾌﾗﾃﾞｨｱｸﾞﾛｳISOFIX360°ｾｰﾌﾃｨ)</v>
      </c>
      <c r="D31" s="17" t="s">
        <v>145</v>
      </c>
      <c r="E31" s="19" t="s">
        <v>153</v>
      </c>
    </row>
    <row r="32" spans="2:6">
      <c r="B32" s="9" t="s">
        <v>136</v>
      </c>
      <c r="C32" s="10" t="str">
        <f t="array" ref="C32">HYPERLINK("#2009年度以降の試験結果一覧!D"&amp;MATCH("フラディア グロウ ISOFIX セーフティープラス AB*",'2009年度以降の試験結果一覧'!D:D,0),"フラディア グロウ ISOFIX セーフティープラス AB")</f>
        <v>フラディア グロウ ISOFIX セーフティープラス AB</v>
      </c>
      <c r="D32" s="17" t="s">
        <v>145</v>
      </c>
      <c r="E32" s="19" t="s">
        <v>153</v>
      </c>
    </row>
    <row r="33" spans="2:5">
      <c r="B33" s="9" t="s">
        <v>136</v>
      </c>
      <c r="C33" s="10" t="str">
        <f t="array" ref="C33">HYPERLINK("#2009年度以降の試験結果一覧!D"&amp;MATCH("フラディア プラス*",'2009年度以降の試験結果一覧'!D:D,0),"フラディア プラス")</f>
        <v>フラディア プラス</v>
      </c>
      <c r="D33" s="17" t="s">
        <v>145</v>
      </c>
      <c r="E33" s="19" t="s">
        <v>153</v>
      </c>
    </row>
    <row r="34" spans="2:5">
      <c r="B34" s="9" t="s">
        <v>136</v>
      </c>
      <c r="C34" s="10" t="str">
        <f>HYPERLINK("#2008年度以前の試験結果一覧!D"&amp;MATCH("ベッティーノ*",'2008年度以前の試験結果一覧'!D:D,0),"ベッティーノSTD")</f>
        <v>ベッティーノSTD</v>
      </c>
      <c r="D34" s="13" t="s">
        <v>152</v>
      </c>
      <c r="E34" s="19" t="s">
        <v>153</v>
      </c>
    </row>
    <row r="35" spans="2:5">
      <c r="B35" s="9" t="s">
        <v>136</v>
      </c>
      <c r="C35" s="10" t="str">
        <f>HYPERLINK("#2008年度以前の試験結果一覧!D"&amp;MATCH("*Jターンサーモ*",'2008年度以前の試験結果一覧'!D:D,0),"マシュマロJターンサーモ")</f>
        <v>マシュマロJターンサーモ</v>
      </c>
      <c r="D35" s="13" t="s">
        <v>152</v>
      </c>
      <c r="E35" s="19" t="s">
        <v>153</v>
      </c>
    </row>
    <row r="36" spans="2:5">
      <c r="B36" s="9" t="s">
        <v>136</v>
      </c>
      <c r="C36" s="10" t="str">
        <f>HYPERLINK("#2008年度以前の試験結果一覧!D"&amp;MATCH("*ネオサーモ*",'2008年度以前の試験結果一覧'!D:D,0),"マシュマロJターンネオサーモ")</f>
        <v>マシュマロJターンネオサーモ</v>
      </c>
      <c r="D36" s="13" t="s">
        <v>152</v>
      </c>
      <c r="E36" s="19" t="s">
        <v>153</v>
      </c>
    </row>
    <row r="37" spans="2:5">
      <c r="B37" s="9" t="s">
        <v>136</v>
      </c>
      <c r="C37" s="10" t="str">
        <f>HYPERLINK("#2008年度以前の試験結果一覧!D"&amp;MATCH("*Ｊフィックスサーモ*",'2008年度以前の試験結果一覧'!D:D,0),"マシュマロJフィックスサーモ")</f>
        <v>マシュマロJフィックスサーモ</v>
      </c>
      <c r="D37" s="13" t="s">
        <v>152</v>
      </c>
      <c r="E37" s="19" t="s">
        <v>153</v>
      </c>
    </row>
    <row r="38" spans="2:5">
      <c r="B38" s="9" t="s">
        <v>136</v>
      </c>
      <c r="C38" s="10" t="str">
        <f>HYPERLINK("#2008年度以前の試験結果一覧!D"&amp;MATCH("*エアーインパクトⅡ*",'2008年度以前の試験結果一覧'!D:D,0),"マシュマロエアーインパクトⅡ")</f>
        <v>マシュマロエアーインパクトⅡ</v>
      </c>
      <c r="D38" s="13" t="s">
        <v>152</v>
      </c>
      <c r="E38" s="12" t="s">
        <v>146</v>
      </c>
    </row>
    <row r="39" spans="2:5">
      <c r="B39" s="9" t="s">
        <v>136</v>
      </c>
      <c r="C39" s="10" t="str">
        <f>HYPERLINK("#2008年度以前の試験結果一覧!D"&amp;MATCH("*エアー8 サポート*",'2008年度以前の試験結果一覧'!D:D,0),"マシュマロジュニアエアー8 サポート")</f>
        <v>マシュマロジュニアエアー8 サポート</v>
      </c>
      <c r="D39" s="13" t="s">
        <v>152</v>
      </c>
      <c r="E39" s="12" t="s">
        <v>146</v>
      </c>
    </row>
    <row r="40" spans="2:5">
      <c r="B40" s="9" t="s">
        <v>136</v>
      </c>
      <c r="C40" s="10" t="str">
        <f>HYPERLINK("#2008年度以前の試験結果一覧!D"&amp;MATCH("*V シールド*",'2008年度以前の試験結果一覧'!D:D,0),"マシュマロフィッツV シールド")</f>
        <v>マシュマロフィッツV シールド</v>
      </c>
      <c r="D40" s="13" t="s">
        <v>152</v>
      </c>
      <c r="E40" s="12" t="s">
        <v>146</v>
      </c>
    </row>
    <row r="41" spans="2:5">
      <c r="B41" s="9" t="s">
        <v>136</v>
      </c>
      <c r="C41" s="10" t="str">
        <f>HYPERLINK("#2008年度以前の試験結果一覧!D"&amp;MATCH("*Wサーモ*",'2008年度以前の試験結果一覧'!D:D,0),"マシュマロベッドWサーモ")</f>
        <v>マシュマロベッドWサーモ</v>
      </c>
      <c r="D41" s="13" t="s">
        <v>152</v>
      </c>
      <c r="E41" s="19" t="s">
        <v>153</v>
      </c>
    </row>
    <row r="42" spans="2:5">
      <c r="B42" s="9" t="s">
        <v>136</v>
      </c>
      <c r="C42" s="10" t="str">
        <f>HYPERLINK("#2008年度以前の試験結果一覧!D"&amp;MATCH("マシュマロベッドグランデ*",'2008年度以前の試験結果一覧'!D:D,0),"マシュマロベッドグランデWサーモ750")</f>
        <v>マシュマロベッドグランデWサーモ750</v>
      </c>
      <c r="D42" s="13" t="s">
        <v>152</v>
      </c>
      <c r="E42" s="19" t="s">
        <v>153</v>
      </c>
    </row>
    <row r="43" spans="2:5">
      <c r="B43" s="9" t="s">
        <v>136</v>
      </c>
      <c r="C43" s="10" t="str">
        <f>HYPERLINK("#2008年度以前の試験結果一覧!D"&amp;MATCH("*ユーロジュニア*",'2008年度以前の試験結果一覧'!D:D,0),"ユーロジュニア")</f>
        <v>ユーロジュニア</v>
      </c>
      <c r="D43" s="13" t="s">
        <v>152</v>
      </c>
      <c r="E43" s="12" t="s">
        <v>146</v>
      </c>
    </row>
    <row r="44" spans="2:5">
      <c r="B44" s="9" t="s">
        <v>136</v>
      </c>
      <c r="C44" s="10" t="str">
        <f>HYPERLINK("#2009年度以降の試験結果一覧!D"&amp;MATCH("ユーロハーネス*",'2009年度以降の試験結果一覧'!D:D,0),"ユーロハーネス")</f>
        <v>ユーロハーネス</v>
      </c>
      <c r="D44" s="13" t="s">
        <v>152</v>
      </c>
      <c r="E44" s="12" t="s">
        <v>146</v>
      </c>
    </row>
    <row r="45" spans="2:5">
      <c r="B45" s="9" t="s">
        <v>136</v>
      </c>
      <c r="C45" s="10" t="str">
        <f>HYPERLINK("#2008年度以前の試験結果一覧!D"&amp;MATCH("*EC820*",'2008年度以前の試験結果一覧'!D:D,0),"ユーロフィックス EC820")</f>
        <v>ユーロフィックス EC820</v>
      </c>
      <c r="D45" s="13" t="s">
        <v>152</v>
      </c>
      <c r="E45" s="19" t="s">
        <v>153</v>
      </c>
    </row>
    <row r="46" spans="2:5">
      <c r="B46" s="9" t="s">
        <v>136</v>
      </c>
      <c r="C46" s="10" t="str">
        <f>HYPERLINK("#2009年度以降の試験結果一覧!D"&amp;MATCH("リライド",'2009年度以降の試験結果一覧'!D:D,0),"リライド")</f>
        <v>リライド</v>
      </c>
      <c r="D46" s="17" t="s">
        <v>145</v>
      </c>
      <c r="E46" s="12" t="s">
        <v>146</v>
      </c>
    </row>
    <row r="47" spans="2:5">
      <c r="B47" s="9" t="s">
        <v>135</v>
      </c>
      <c r="C47" s="10" t="str">
        <f>HYPERLINK("#2008年度以前の試験結果一覧!D"&amp;MATCH("ディスカバリーベビーシート*",'2008年度以前の試験結果一覧'!D:D,0),"ディスカバリーベビーシート")</f>
        <v>ディスカバリーベビーシート</v>
      </c>
      <c r="D47" s="13" t="s">
        <v>152</v>
      </c>
      <c r="E47" s="159" t="s">
        <v>39</v>
      </c>
    </row>
    <row r="48" spans="2:5">
      <c r="B48" s="9" t="s">
        <v>139</v>
      </c>
      <c r="C48" s="10" t="str">
        <f>HYPERLINK("#2008年度以前の試験結果一覧!D"&amp;MATCH("*パワーベスト*",'2008年度以前の試験結果一覧'!D:D,0),"パワーベスト")</f>
        <v>パワーベスト</v>
      </c>
      <c r="D48" s="13" t="s">
        <v>152</v>
      </c>
      <c r="E48" s="12" t="s">
        <v>146</v>
      </c>
    </row>
    <row r="49" spans="2:5">
      <c r="B49" s="9" t="s">
        <v>162</v>
      </c>
      <c r="C49" s="10" t="str">
        <f>HYPERLINK("#2009年度以降の試験結果一覧!D"&amp;MATCH("*キュートフィックス*",'2009年度以降の試験結果一覧'!D:D,0),"エールベベ・キュートフィックス")</f>
        <v>エールベベ・キュートフィックス</v>
      </c>
      <c r="D49" s="17" t="s">
        <v>145</v>
      </c>
      <c r="E49" s="19" t="s">
        <v>153</v>
      </c>
    </row>
    <row r="50" spans="2:5">
      <c r="B50" s="9" t="s">
        <v>162</v>
      </c>
      <c r="C50" s="10" t="str">
        <f>HYPERLINK("#2009年度以降の試験結果一覧!D"&amp;MATCH("*クルット3i*",'2009年度以降の試験結果一覧'!D:D,0),"エールベベ・クルット3i")</f>
        <v>エールベベ・クルット3i</v>
      </c>
      <c r="D50" s="17" t="s">
        <v>145</v>
      </c>
      <c r="E50" s="19" t="s">
        <v>153</v>
      </c>
    </row>
    <row r="51" spans="2:5">
      <c r="B51" s="9" t="s">
        <v>162</v>
      </c>
      <c r="C51" s="10" t="str">
        <f>HYPERLINK("#2009年度以降の試験結果一覧!D"&amp;MATCH("*クルット3i*",'2009年度以降の試験結果一覧'!D:D,0),"エールベベ・クルット4i (試験:クルット3i)")</f>
        <v>エールベベ・クルット4i (試験:クルット3i)</v>
      </c>
      <c r="D51" s="17" t="s">
        <v>145</v>
      </c>
      <c r="E51" s="19" t="s">
        <v>153</v>
      </c>
    </row>
    <row r="52" spans="2:5">
      <c r="B52" s="9" t="s">
        <v>133</v>
      </c>
      <c r="C52" s="10" t="str">
        <f>HYPERLINK("#2009年度以降の試験結果一覧!D"&amp;MATCH("*クルット4s*",'2009年度以降の試験結果一覧'!D:D,0),"エールベベ・クルット4s")</f>
        <v>エールベベ・クルット4s</v>
      </c>
      <c r="D52" s="13" t="s">
        <v>167</v>
      </c>
      <c r="E52" s="19" t="s">
        <v>153</v>
      </c>
    </row>
    <row r="53" spans="2:5">
      <c r="B53" s="9" t="s">
        <v>133</v>
      </c>
      <c r="C53" s="10" t="str">
        <f>HYPERLINK("#2009年度以降の試験結果一覧!D"&amp;MATCH("*クルット3i*",'2009年度以降の試験結果一覧'!D:D,0),"エールベベ・クルット5i (試験:クルット3i)")</f>
        <v>エールベベ・クルット5i (試験:クルット3i)</v>
      </c>
      <c r="D53" s="17" t="s">
        <v>145</v>
      </c>
      <c r="E53" s="19" t="s">
        <v>153</v>
      </c>
    </row>
    <row r="54" spans="2:5">
      <c r="B54" s="9" t="s">
        <v>133</v>
      </c>
      <c r="C54" s="10" t="str">
        <f>HYPERLINK("#2009年度以降の試験結果一覧!D"&amp;MATCH("*クルット4s*",'2009年度以降の試験結果一覧'!D:D,0),"エールベベ・クルット5s(試験:クルット4s)")</f>
        <v>エールベベ・クルット5s(試験:クルット4s)</v>
      </c>
      <c r="D54" s="13" t="s">
        <v>152</v>
      </c>
      <c r="E54" s="19" t="s">
        <v>153</v>
      </c>
    </row>
    <row r="55" spans="2:5">
      <c r="B55" s="9" t="s">
        <v>133</v>
      </c>
      <c r="C55" s="10" t="str">
        <f>HYPERLINK("#2009年度以降の試験結果一覧!D"&amp;MATCH("*クルット3i*",'2009年度以降の試験結果一覧'!D:D,0),"エールベベ・クルット6i (試験:クルット3i)")</f>
        <v>エールベベ・クルット6i (試験:クルット3i)</v>
      </c>
      <c r="D55" s="17" t="s">
        <v>145</v>
      </c>
      <c r="E55" s="19" t="s">
        <v>153</v>
      </c>
    </row>
    <row r="56" spans="2:5">
      <c r="B56" s="9" t="s">
        <v>133</v>
      </c>
      <c r="C56" s="10" t="str">
        <f>HYPERLINK("#2009年度以降の試験結果一覧!D"&amp;MATCH("*クルット3i*",'2009年度以降の試験結果一覧'!D:D,0),"エールベベ・クルット6i (試験:クルット3i)")</f>
        <v>エールベベ・クルット6i (試験:クルット3i)</v>
      </c>
      <c r="D56" s="17" t="s">
        <v>145</v>
      </c>
      <c r="E56" s="19" t="s">
        <v>153</v>
      </c>
    </row>
    <row r="57" spans="2:5">
      <c r="B57" s="9" t="s">
        <v>156</v>
      </c>
      <c r="C57" s="10" t="str">
        <f>HYPERLINK("#2008年度以前の試験結果一覧!D"&amp;MATCH("エールベベ・くるっとEX*",'2008年度以前の試験結果一覧'!D:D,0),"エールベベ・くるっとEX")</f>
        <v>エールベベ・くるっとEX</v>
      </c>
      <c r="D57" s="13" t="s">
        <v>152</v>
      </c>
      <c r="E57" s="19" t="s">
        <v>153</v>
      </c>
    </row>
    <row r="58" spans="2:5">
      <c r="B58" s="9" t="s">
        <v>133</v>
      </c>
      <c r="C58" s="10" t="str">
        <f>HYPERLINK("#2009年度以降の試験結果一覧!D"&amp;MATCH("*クルットＮＴ*",'2009年度以降の試験結果一覧'!D:D,0),"エールベベ・クルットNT")</f>
        <v>エールベベ・クルットNT</v>
      </c>
      <c r="D58" s="13" t="s">
        <v>167</v>
      </c>
      <c r="E58" s="19" t="s">
        <v>153</v>
      </c>
    </row>
    <row r="59" spans="2:5">
      <c r="B59" s="9" t="s">
        <v>133</v>
      </c>
      <c r="C59" s="10" t="str">
        <f>HYPERLINK("#2009年度以降の試験結果一覧!D"&amp;MATCH("*クルットR*",'2009年度以降の試験結果一覧'!D:D,0),"エールベベ・クルットR")</f>
        <v>エールベベ・クルットR</v>
      </c>
      <c r="D59" s="17" t="s">
        <v>145</v>
      </c>
      <c r="E59" s="19" t="s">
        <v>153</v>
      </c>
    </row>
    <row r="60" spans="2:5">
      <c r="B60" s="9" t="s">
        <v>133</v>
      </c>
      <c r="C60" s="10" t="str">
        <f>HYPERLINK("#2009年度以降の試験結果一覧!D"&amp;MATCH("エールベベ・クルット スライド",'2009年度以降の試験結果一覧'!D:D,0),"エールベベ・クルット スライド")</f>
        <v>エールベベ・クルット スライド</v>
      </c>
      <c r="D60" s="17" t="s">
        <v>145</v>
      </c>
      <c r="E60" s="19" t="s">
        <v>153</v>
      </c>
    </row>
    <row r="61" spans="2:5">
      <c r="B61" s="9" t="s">
        <v>133</v>
      </c>
      <c r="C61" s="10" t="str">
        <f>HYPERLINK("#2009年度以降の試験結果一覧!D"&amp;MATCH("エールべべ・グローバ*",'2009年度以降の試験結果一覧'!D:D,0),"エールベベ・グローバ")</f>
        <v>エールベベ・グローバ</v>
      </c>
      <c r="D61" s="13" t="s">
        <v>152</v>
      </c>
      <c r="E61" s="12" t="s">
        <v>146</v>
      </c>
    </row>
    <row r="62" spans="2:5">
      <c r="B62" s="9" t="s">
        <v>133</v>
      </c>
      <c r="C62" s="10" t="str">
        <f>HYPERLINK("#2008年度以前の試験結果一覧!D"&amp;MATCH("*さらっと３ステップ *",'2008年度以前の試験結果一覧'!D:D,0),"エールベベ・さらっと３ステップ ")</f>
        <v xml:space="preserve">エールベベ・さらっと３ステップ </v>
      </c>
      <c r="D62" s="13" t="s">
        <v>152</v>
      </c>
      <c r="E62" s="12" t="s">
        <v>146</v>
      </c>
    </row>
    <row r="63" spans="2:5">
      <c r="B63" s="9" t="s">
        <v>133</v>
      </c>
      <c r="C63" s="10" t="str">
        <f>HYPERLINK("#2008年度以前の試験結果一覧!D"&amp;MATCH("*サラット３ステップⅡ*",'2008年度以前の試験結果一覧'!D:D,0),"エールベベ・サラット３ステップⅡ")</f>
        <v>エールベベ・サラット３ステップⅡ</v>
      </c>
      <c r="D63" s="13" t="s">
        <v>152</v>
      </c>
      <c r="E63" s="12" t="s">
        <v>146</v>
      </c>
    </row>
    <row r="64" spans="2:5">
      <c r="B64" s="9" t="s">
        <v>174</v>
      </c>
      <c r="C64" s="10" t="str">
        <f>HYPERLINK("#2009年度以降の試験結果一覧!D"&amp;MATCH("*スイングムーン*",'2009年度以降の試験結果一覧'!D:D,0),"エールベベ・スイングムーン")</f>
        <v>エールベベ・スイングムーン</v>
      </c>
      <c r="D64" s="13" t="s">
        <v>152</v>
      </c>
      <c r="E64" s="12" t="s">
        <v>146</v>
      </c>
    </row>
    <row r="65" spans="2:5">
      <c r="B65" s="9" t="s">
        <v>156</v>
      </c>
      <c r="C65" s="10" t="str">
        <f>HYPERLINK("#2008年度以前の試験結果一覧!D"&amp;MATCH("エールベベ・ズット*",'2008年度以前の試験結果一覧'!D:D,0),"エールベベ・ズット")</f>
        <v>エールベベ・ズット</v>
      </c>
      <c r="D65" s="13" t="s">
        <v>152</v>
      </c>
      <c r="E65" s="19" t="s">
        <v>153</v>
      </c>
    </row>
    <row r="66" spans="2:5">
      <c r="B66" s="9" t="s">
        <v>133</v>
      </c>
      <c r="C66" s="10" t="str">
        <f>HYPERLINK("#2009年度以降の試験結果一覧!D"&amp;MATCH("*パパット2*",'2009年度以降の試験結果一覧'!D:D,0),"エールベベ・パパット(試験:パパット2)")</f>
        <v>エールベベ・パパット(試験:パパット2)</v>
      </c>
      <c r="D66" s="17" t="s">
        <v>145</v>
      </c>
      <c r="E66" s="12" t="s">
        <v>146</v>
      </c>
    </row>
    <row r="67" spans="2:5">
      <c r="B67" s="9" t="s">
        <v>133</v>
      </c>
      <c r="C67" s="10" t="str">
        <f>HYPERLINK("#2009年度以降の試験結果一覧!D"&amp;MATCH("*パパット2*",'2009年度以降の試験結果一覧'!D:D,0),"エールベベ・パパット2")</f>
        <v>エールベベ・パパット2</v>
      </c>
      <c r="D67" s="17" t="s">
        <v>145</v>
      </c>
      <c r="E67" s="12" t="s">
        <v>146</v>
      </c>
    </row>
    <row r="68" spans="2:5">
      <c r="B68" s="9" t="s">
        <v>133</v>
      </c>
      <c r="C68" s="10" t="str">
        <f>HYPERLINK("#2008年度以前の試験結果一覧!D"&amp;MATCH("*プレコット*",'2008年度以前の試験結果一覧'!D:D,0),"エールベベ・プレコット")</f>
        <v>エールベベ・プレコット</v>
      </c>
      <c r="D68" s="13" t="s">
        <v>152</v>
      </c>
      <c r="E68" s="159" t="s">
        <v>39</v>
      </c>
    </row>
    <row r="69" spans="2:5">
      <c r="B69" s="9" t="s">
        <v>133</v>
      </c>
      <c r="C69" s="10" t="str">
        <f>HYPERLINK("#2008年度以前の試験結果一覧!D"&amp;MATCH("*プレシールド*",'2008年度以前の試験結果一覧'!D:D,0),"エールベベ・プレシールド")</f>
        <v>エールベベ・プレシールド</v>
      </c>
      <c r="D69" s="13" t="s">
        <v>152</v>
      </c>
      <c r="E69" s="12" t="s">
        <v>146</v>
      </c>
    </row>
    <row r="70" spans="2:5">
      <c r="B70" s="9" t="s">
        <v>156</v>
      </c>
      <c r="C70" s="10" t="str">
        <f>HYPERLINK("#2008年度以前の試験結果一覧!D"&amp;MATCH("すくすくターン*",'2008年度以前の試験結果一覧'!D:D,0),"すくすくターン")</f>
        <v>すくすくターン</v>
      </c>
      <c r="D70" s="13" t="s">
        <v>152</v>
      </c>
      <c r="E70" s="19" t="s">
        <v>153</v>
      </c>
    </row>
    <row r="71" spans="2:5">
      <c r="B71" s="9" t="s">
        <v>142</v>
      </c>
      <c r="C71" s="10" t="str">
        <f t="array" ref="C71">HYPERLINK("#2009年度以降の試験結果一覧!D"&amp;MATCH("*アイ・アーク360°*",'2009年度以降の試験結果一覧'!D:D,0),"Joie・アイ・アーク360°")</f>
        <v>Joie・アイ・アーク360°</v>
      </c>
      <c r="D71" s="17" t="s">
        <v>145</v>
      </c>
      <c r="E71" s="19" t="s">
        <v>153</v>
      </c>
    </row>
    <row r="72" spans="2:5">
      <c r="B72" s="9" t="s">
        <v>142</v>
      </c>
      <c r="C72" s="10" t="str">
        <f>HYPERLINK("#2009年度以降の試験結果一覧!D"&amp;MATCH("*アーク360°*",'2009年度以降の試験結果一覧'!D:D,0),"Joie・アーク360°")</f>
        <v>Joie・アーク360°</v>
      </c>
      <c r="D72" s="17" t="s">
        <v>145</v>
      </c>
      <c r="E72" s="19" t="s">
        <v>153</v>
      </c>
    </row>
    <row r="73" spans="2:5">
      <c r="B73" s="9" t="s">
        <v>142</v>
      </c>
      <c r="C73" s="10" t="str">
        <f>HYPERLINK("#2009年度以降の試験結果一覧!D"&amp;MATCH("*エレベート*",'2009年度以降の試験結果一覧'!D:D,0),"Joie・エレベート")</f>
        <v>Joie・エレベート</v>
      </c>
      <c r="D73" s="13" t="s">
        <v>167</v>
      </c>
      <c r="E73" s="12" t="s">
        <v>146</v>
      </c>
    </row>
    <row r="74" spans="2:5">
      <c r="B74" s="9" t="s">
        <v>142</v>
      </c>
      <c r="C74" s="10" t="str">
        <f>HYPERLINK("#2009年度以降の試験結果一覧!D"&amp;MATCH("Joie・エレベートR129",'2009年度以降の試験結果一覧'!D:D,0),"Joie・エレベートR129")</f>
        <v>Joie・エレベートR129</v>
      </c>
      <c r="D74" s="13" t="s">
        <v>152</v>
      </c>
      <c r="E74" s="12" t="s">
        <v>146</v>
      </c>
    </row>
    <row r="75" spans="2:5">
      <c r="B75" s="9" t="s">
        <v>142</v>
      </c>
      <c r="C75" s="10" t="str">
        <f>HYPERLINK("#2009年度以降の試験結果一覧!D"&amp;MATCH("*ジェム [ISO-FIX固定]",'2009年度以降の試験結果一覧'!D:D,0),"Joie・ジェム　[ISO-FIX固定]")</f>
        <v>Joie・ジェム　[ISO-FIX固定]</v>
      </c>
      <c r="D75" s="18" t="s">
        <v>166</v>
      </c>
      <c r="E75" s="159" t="s">
        <v>39</v>
      </c>
    </row>
    <row r="76" spans="2:5">
      <c r="B76" s="9" t="s">
        <v>142</v>
      </c>
      <c r="C76" s="10" t="str">
        <f>HYPERLINK("#2009年度以降の試験結果一覧!D"&amp;MATCH("*ジェム [ベルト固定]",'2009年度以降の試験結果一覧'!D:D,0),"Joie・ジェム　[ベルト固定]")</f>
        <v>Joie・ジェム　[ベルト固定]</v>
      </c>
      <c r="D76" s="18" t="s">
        <v>166</v>
      </c>
      <c r="E76" s="159" t="s">
        <v>39</v>
      </c>
    </row>
    <row r="77" spans="2:5">
      <c r="B77" s="9" t="s">
        <v>169</v>
      </c>
      <c r="C77" s="10" t="str">
        <f>HYPERLINK("#2009年度以降の試験結果一覧!D"&amp;MATCH("*ジュバ*",'2009年度以降の試験結果一覧'!D:D,0),"Joie・ジュバ")</f>
        <v>Joie・ジュバ</v>
      </c>
      <c r="D77" s="13" t="s">
        <v>167</v>
      </c>
      <c r="E77" s="159" t="s">
        <v>39</v>
      </c>
    </row>
    <row r="78" spans="2:5">
      <c r="B78" s="9" t="s">
        <v>169</v>
      </c>
      <c r="C78" s="10" t="str">
        <f>HYPERLINK("#2009年度以降の試験結果一覧!D"&amp;MATCH("*ステージズ*",'2009年度以降の試験結果一覧'!D:D,0),"Joie・ステージズ")</f>
        <v>Joie・ステージズ</v>
      </c>
      <c r="D78" s="13" t="s">
        <v>167</v>
      </c>
      <c r="E78" s="19" t="s">
        <v>153</v>
      </c>
    </row>
    <row r="79" spans="2:5">
      <c r="B79" s="9" t="s">
        <v>142</v>
      </c>
      <c r="C79" s="10" t="str">
        <f>HYPERLINK("#2009年度以降の試験結果一覧!D"&amp;MATCH("Joie・ステディ R129",'2009年度以降の試験結果一覧'!D:D,0),"Joie・ステディ R129")</f>
        <v>Joie・ステディ R129</v>
      </c>
      <c r="D79" s="17" t="s">
        <v>145</v>
      </c>
      <c r="E79" s="19" t="s">
        <v>153</v>
      </c>
    </row>
    <row r="80" spans="2:5">
      <c r="B80" s="9" t="s">
        <v>169</v>
      </c>
      <c r="C80" s="10" t="str">
        <f>HYPERLINK("#2009年度以降の試験結果一覧!D"&amp;MATCH("*チルト*",'2009年度以降の試験結果一覧'!D:D,0),"Joie・チルト")</f>
        <v>Joie・チルト</v>
      </c>
      <c r="D80" s="13" t="s">
        <v>167</v>
      </c>
      <c r="E80" s="19" t="s">
        <v>153</v>
      </c>
    </row>
    <row r="81" spans="2:5">
      <c r="B81" s="9" t="s">
        <v>169</v>
      </c>
      <c r="C81" s="10" t="str">
        <f>HYPERLINK("#2009年度以降の試験結果一覧!D"&amp;MATCH("*バリアント*",'2009年度以降の試験結果一覧'!D:D,0),"Joie・バリアント")</f>
        <v>Joie・バリアント</v>
      </c>
      <c r="D81" s="13" t="s">
        <v>167</v>
      </c>
      <c r="E81" s="19" t="s">
        <v>153</v>
      </c>
    </row>
    <row r="82" spans="2:5">
      <c r="B82" s="9" t="s">
        <v>142</v>
      </c>
      <c r="C82" s="10" t="str">
        <f>HYPERLINK("#2009年度以降の試験結果一覧!D"&amp;MATCH("Joie・ベビーシート アイ・スナグ2[ISO-FIX固定]",'2009年度以降の試験結果一覧'!D:D,0),"Joie・ベビーシート アイ・スナグ2[ISO-FIX固定]")</f>
        <v>Joie・ベビーシート アイ・スナグ2[ISO-FIX固定]</v>
      </c>
      <c r="D82" s="17" t="s">
        <v>145</v>
      </c>
      <c r="E82" s="159" t="s">
        <v>39</v>
      </c>
    </row>
    <row r="83" spans="2:5">
      <c r="B83" s="9" t="s">
        <v>142</v>
      </c>
      <c r="C83" s="10" t="str">
        <f>HYPERLINK("#2009年度以降の試験結果一覧!D"&amp;MATCH("Joie・ベビーシート アイ・スナグ2 [ベルト固定]",'2009年度以降の試験結果一覧'!D:D,0),"Joie・ベビーシート アイ・スナグ2 [ベルト固定]")</f>
        <v>Joie・ベビーシート アイ・スナグ2 [ベルト固定]</v>
      </c>
      <c r="D83" s="17" t="s">
        <v>145</v>
      </c>
      <c r="E83" s="159" t="s">
        <v>39</v>
      </c>
    </row>
    <row r="84" spans="2:5">
      <c r="B84" s="9" t="s">
        <v>154</v>
      </c>
      <c r="C84" s="10" t="str">
        <f>HYPERLINK("#2008年度以前の試験結果一覧!D"&amp;MATCH("オートベビープラス*",'2008年度以前の試験結果一覧'!D:D,0),"オートベビープラス")</f>
        <v>オートベビープラス</v>
      </c>
      <c r="D84" s="13" t="s">
        <v>152</v>
      </c>
      <c r="E84" s="159" t="s">
        <v>39</v>
      </c>
    </row>
    <row r="85" spans="2:5">
      <c r="B85" s="9" t="s">
        <v>130</v>
      </c>
      <c r="C85" s="10" t="str">
        <f>HYPERLINK("#2009年度以降の試験結果一覧!D"&amp;MATCH("THE S*",'2009年度以降の試験結果一覧'!D:D,0),"THE S")</f>
        <v>THE S</v>
      </c>
      <c r="D85" s="17" t="s">
        <v>145</v>
      </c>
      <c r="E85" s="19" t="s">
        <v>153</v>
      </c>
    </row>
    <row r="86" spans="2:5">
      <c r="B86" s="9" t="s">
        <v>130</v>
      </c>
      <c r="C86" s="10" t="str">
        <f>HYPERLINK("#2009年度以降の試験結果一覧!D"&amp;MATCH("ウィゴーロング*",'2009年度以降の試験結果一覧'!D:D,0),"ウィゴーロング")</f>
        <v>ウィゴーロング</v>
      </c>
      <c r="D86" s="13" t="s">
        <v>167</v>
      </c>
      <c r="E86" s="19" t="s">
        <v>153</v>
      </c>
    </row>
    <row r="87" spans="2:5">
      <c r="B87" s="9" t="s">
        <v>130</v>
      </c>
      <c r="C87" s="10" t="str">
        <f>HYPERLINK("#2008年度以前の試験結果一覧!D"&amp;MATCH("カブリオレ*",'2008年度以前の試験結果一覧'!D:D,0),"カブリオレ")</f>
        <v>カブリオレ</v>
      </c>
      <c r="D87" s="13" t="s">
        <v>152</v>
      </c>
      <c r="E87" s="159" t="s">
        <v>39</v>
      </c>
    </row>
    <row r="88" spans="2:5">
      <c r="B88" s="9" t="s">
        <v>151</v>
      </c>
      <c r="C88" s="11" t="str">
        <f>HYPERLINK("#2008年度以前の試験結果一覧!D"&amp;MATCH("グッドキャリー*",'2008年度以前の試験結果一覧'!D:D,0),"グッドキャリー")</f>
        <v>グッドキャリー</v>
      </c>
      <c r="D88" s="13" t="s">
        <v>152</v>
      </c>
      <c r="E88" s="159" t="s">
        <v>39</v>
      </c>
    </row>
    <row r="89" spans="2:5">
      <c r="B89" s="9" t="s">
        <v>130</v>
      </c>
      <c r="C89" s="10" t="str">
        <f t="array" ref="C89">HYPERLINK("#2009年度以降の試験結果一覧!D"&amp;MATCH("*44238"&amp;"ネルーム*",'2009年度以降の試験結果一覧'!C:C&amp;'2009年度以降の試験結果一覧'!D:D,0),"クルムーヴ (試験:ネルーム)")</f>
        <v>クルムーヴ (試験:ネルーム)</v>
      </c>
      <c r="D89" s="13" t="s">
        <v>152</v>
      </c>
      <c r="E89" s="19" t="s">
        <v>153</v>
      </c>
    </row>
    <row r="90" spans="2:5">
      <c r="B90" s="9" t="s">
        <v>130</v>
      </c>
      <c r="C90" s="10" t="str">
        <f t="array" ref="C90">HYPERLINK("#2009年度以降の試験結果一覧!D"&amp;MATCH("ネルーム ISOFIX*",'2009年度以降の試験結果一覧'!D:D,0),"クルムーヴ ISOFIX (試験:ネルームISOFIX)")</f>
        <v>クルムーヴ ISOFIX (試験:ネルームISOFIX)</v>
      </c>
      <c r="D90" s="17" t="s">
        <v>145</v>
      </c>
      <c r="E90" s="19" t="s">
        <v>153</v>
      </c>
    </row>
    <row r="91" spans="2:5">
      <c r="B91" s="9" t="s">
        <v>130</v>
      </c>
      <c r="C91" s="325" t="str">
        <f>HYPERLINK("#2009年度以降の試験結果一覧!D"&amp;MATCH("クルムーヴ アドバンス",'2009年度以降の試験結果一覧'!D:D,0),"クルムーヴ アドバンス")</f>
        <v>クルムーヴ アドバンス</v>
      </c>
      <c r="D91" s="17" t="s">
        <v>145</v>
      </c>
      <c r="E91" s="19" t="s">
        <v>153</v>
      </c>
    </row>
    <row r="92" spans="2:5">
      <c r="B92" s="9" t="s">
        <v>130</v>
      </c>
      <c r="C92" s="10" t="str">
        <f t="array" ref="C92">HYPERLINK("#2009年度以降の試験結果一覧!D"&amp;MATCH("*44238"&amp;"ネルーム*",'2009年度以降の試験結果一覧'!C:C&amp;'2009年度以降の試験結果一覧'!D:D,0),"クルムーヴ スマート (試験:ネルーム)")</f>
        <v>クルムーヴ スマート (試験:ネルーム)</v>
      </c>
      <c r="D92" s="13" t="s">
        <v>152</v>
      </c>
      <c r="E92" s="19" t="s">
        <v>153</v>
      </c>
    </row>
    <row r="93" spans="2:5" ht="21">
      <c r="B93" s="9" t="s">
        <v>163</v>
      </c>
      <c r="C93" s="325" t="str">
        <f>HYPERLINK("#2009年度以降の試験結果一覧!D"&amp;MATCH("ネルーム ISOFIX*",'2009年度以降の試験結果一覧'!D:D,0),"クルムーヴ スマート ISOFIX (試験:ネルームISOFIX)")</f>
        <v>クルムーヴ スマート ISOFIX (試験:ネルームISOFIX)</v>
      </c>
      <c r="D93" s="17" t="s">
        <v>145</v>
      </c>
      <c r="E93" s="19" t="s">
        <v>153</v>
      </c>
    </row>
    <row r="94" spans="2:5">
      <c r="B94" s="9" t="s">
        <v>130</v>
      </c>
      <c r="C94" s="325" t="str">
        <f>HYPERLINK("#2009年度以降の試験結果一覧!D"&amp;MATCH("クルムーヴ ロング",'2009年度以降の試験結果一覧'!D:D,0),"クルムーヴ ロング")</f>
        <v>クルムーヴ ロング</v>
      </c>
      <c r="D94" s="17" t="s">
        <v>145</v>
      </c>
      <c r="E94" s="19" t="s">
        <v>153</v>
      </c>
    </row>
    <row r="95" spans="2:5">
      <c r="B95" s="9" t="s">
        <v>130</v>
      </c>
      <c r="C95" s="10" t="str">
        <f t="array" ref="C95">HYPERLINK("#2008年度以前の試験結果一覧!D"&amp;MATCH("コッコロ*"&amp;7,'2008年度以前の試験結果一覧'!D:D&amp;'2008年度以前の試験結果一覧'!F:F,0),"コッコロ")</f>
        <v>コッコロ</v>
      </c>
      <c r="D95" s="13" t="s">
        <v>152</v>
      </c>
      <c r="E95" s="19" t="s">
        <v>153</v>
      </c>
    </row>
    <row r="96" spans="2:5">
      <c r="B96" s="9" t="s">
        <v>130</v>
      </c>
      <c r="C96" s="10" t="str">
        <f>HYPERLINK("#2008年度以前の試験結果一覧!D"&amp;MATCH("コッコロUX*",'2008年度以前の試験結果一覧'!D:D,0),"コッコロUX")</f>
        <v>コッコロUX</v>
      </c>
      <c r="D96" s="13" t="s">
        <v>152</v>
      </c>
      <c r="E96" s="19" t="s">
        <v>153</v>
      </c>
    </row>
    <row r="97" spans="2:5">
      <c r="B97" s="9" t="s">
        <v>130</v>
      </c>
      <c r="C97" s="10" t="str">
        <f>HYPERLINK("#2009年度以降の試験結果一覧!D"&amp;MATCH("ジョイトリップ",'2009年度以降の試験結果一覧'!D:D,0),"ジョイトリップ")</f>
        <v>ジョイトリップ</v>
      </c>
      <c r="D97" s="13" t="s">
        <v>152</v>
      </c>
      <c r="E97" s="12" t="s">
        <v>146</v>
      </c>
    </row>
    <row r="98" spans="2:5">
      <c r="B98" s="9" t="s">
        <v>130</v>
      </c>
      <c r="C98" s="10" t="str">
        <f>HYPERLINK("#2009年度以降の試験結果一覧!D"&amp;MATCH("ジョイトリップ アドバンス",'2009年度以降の試験結果一覧'!D:D,0),"ジョイトリップ アドバンス")</f>
        <v>ジョイトリップ アドバンス</v>
      </c>
      <c r="D98" s="17" t="s">
        <v>145</v>
      </c>
      <c r="E98" s="12" t="s">
        <v>146</v>
      </c>
    </row>
    <row r="99" spans="2:5">
      <c r="B99" s="9" t="s">
        <v>130</v>
      </c>
      <c r="C99" s="10" t="str">
        <f>HYPERLINK("#2008年度以前の試験結果一覧!D"&amp;MATCH("ゼウスターンEG*",'2008年度以前の試験結果一覧'!D:D,0),"ゼウスターンEG")</f>
        <v>ゼウスターンEG</v>
      </c>
      <c r="D99" s="13" t="s">
        <v>152</v>
      </c>
      <c r="E99" s="19" t="s">
        <v>153</v>
      </c>
    </row>
    <row r="100" spans="2:5">
      <c r="B100" s="9" t="s">
        <v>130</v>
      </c>
      <c r="C100" s="10" t="str">
        <f>HYPERLINK("#2008年度以前の試験結果一覧!D"&amp;MATCH("セパラテ*",'2008年度以前の試験結果一覧'!D:D,0),"セパラテ")</f>
        <v>セパラテ</v>
      </c>
      <c r="D100" s="13" t="s">
        <v>152</v>
      </c>
      <c r="E100" s="19" t="s">
        <v>153</v>
      </c>
    </row>
    <row r="101" spans="2:5">
      <c r="B101" s="9" t="s">
        <v>130</v>
      </c>
      <c r="C101" s="10" t="str">
        <f>HYPERLINK("#2008年度以前の試験結果一覧!D"&amp;MATCH("ネオシスファースト2.5S*",'2008年度以前の試験結果一覧'!D:D,0),"ネオシスファースト2.5S")</f>
        <v>ネオシスファースト2.5S</v>
      </c>
      <c r="D101" s="13" t="s">
        <v>152</v>
      </c>
      <c r="E101" s="19" t="s">
        <v>153</v>
      </c>
    </row>
    <row r="102" spans="2:5">
      <c r="B102" s="9" t="s">
        <v>130</v>
      </c>
      <c r="C102" s="10" t="str">
        <f t="array" ref="C102">HYPERLINK("#2009年度以降の試験結果一覧!D"&amp;MATCH("*44238"&amp;"ネルーム*",'2009年度以降の試験結果一覧'!C:C&amp;'2009年度以降の試験結果一覧'!D:D,0),"ネセルターン (試験:ネルーム)")</f>
        <v>ネセルターン (試験:ネルーム)</v>
      </c>
      <c r="D102" s="13" t="s">
        <v>152</v>
      </c>
      <c r="E102" s="19" t="s">
        <v>153</v>
      </c>
    </row>
    <row r="103" spans="2:5">
      <c r="B103" s="9" t="s">
        <v>130</v>
      </c>
      <c r="C103" s="10" t="str">
        <f t="array" ref="C103">HYPERLINK("#2009年度以降の試験結果一覧!D"&amp;MATCH("ネルーム ISOFIX*",'2009年度以降の試験結果一覧'!D:D,0),"ネセルターン ISOFIX (試験:ネルームISOFIX)")</f>
        <v>ネセルターン ISOFIX (試験:ネルームISOFIX)</v>
      </c>
      <c r="D103" s="17" t="s">
        <v>145</v>
      </c>
      <c r="E103" s="19" t="s">
        <v>153</v>
      </c>
    </row>
    <row r="104" spans="2:5">
      <c r="B104" s="9" t="s">
        <v>130</v>
      </c>
      <c r="C104" s="10" t="str">
        <f t="array" ref="C104">HYPERLINK("#2009年度以降の試験結果一覧!D"&amp;MATCH("*44238"&amp;"ネルーム*",'2009年度以降の試験結果一覧'!C:C&amp;'2009年度以降の試験結果一覧'!D:D,0),"ネルーム")</f>
        <v>ネルーム</v>
      </c>
      <c r="D104" s="13" t="s">
        <v>167</v>
      </c>
      <c r="E104" s="19" t="s">
        <v>153</v>
      </c>
    </row>
    <row r="105" spans="2:5">
      <c r="B105" s="9" t="s">
        <v>163</v>
      </c>
      <c r="C105" s="10" t="str">
        <f>HYPERLINK("#2009年度以降の試験結果一覧!D"&amp;MATCH("ネルーム ISOFIX*",'2009年度以降の試験結果一覧'!D:D,0),"ネルーム ISOFIX")</f>
        <v>ネルーム ISOFIX</v>
      </c>
      <c r="D105" s="17" t="s">
        <v>145</v>
      </c>
      <c r="E105" s="19" t="s">
        <v>153</v>
      </c>
    </row>
    <row r="106" spans="2:5">
      <c r="B106" s="9" t="s">
        <v>130</v>
      </c>
      <c r="C106" s="10" t="str">
        <f>HYPERLINK("#2008年度以前の試験結果一覧!D"&amp;MATCH("ハーネスフィットロング*",'2008年度以前の試験結果一覧'!D:D,0),"ハーネスフィットロング")</f>
        <v>ハーネスフィットロング</v>
      </c>
      <c r="D106" s="13" t="s">
        <v>152</v>
      </c>
      <c r="E106" s="12" t="s">
        <v>146</v>
      </c>
    </row>
    <row r="107" spans="2:5">
      <c r="B107" s="9" t="s">
        <v>130</v>
      </c>
      <c r="C107" s="10" t="str">
        <f>HYPERLINK("#2008年度以前の試験結果一覧!D"&amp;MATCH("ブオンキッズEG*",'2008年度以前の試験結果一覧'!D:D,0),"ブオンキッズEG")</f>
        <v>ブオンキッズEG</v>
      </c>
      <c r="D107" s="13" t="s">
        <v>152</v>
      </c>
      <c r="E107" s="12" t="s">
        <v>146</v>
      </c>
    </row>
    <row r="108" spans="2:5">
      <c r="B108" s="9" t="s">
        <v>130</v>
      </c>
      <c r="C108" s="10" t="str">
        <f>HYPERLINK("#2008年度以前の試験結果一覧!D"&amp;MATCH("プリオリXP*",'2008年度以前の試験結果一覧'!D:D,0),"プリオリXP")</f>
        <v>プリオリXP</v>
      </c>
      <c r="D108" s="13" t="s">
        <v>152</v>
      </c>
      <c r="E108" s="12" t="s">
        <v>146</v>
      </c>
    </row>
    <row r="109" spans="2:5">
      <c r="B109" s="9" t="s">
        <v>130</v>
      </c>
      <c r="C109" s="10" t="str">
        <f>HYPERLINK("#2008年度以前の試験結果一覧!D"&amp;MATCH("プリムキッズ*",'2008年度以前の試験結果一覧'!D:D,0),"プリムキッズ")</f>
        <v>プリムキッズ</v>
      </c>
      <c r="D109" s="13" t="s">
        <v>152</v>
      </c>
      <c r="E109" s="12" t="s">
        <v>146</v>
      </c>
    </row>
    <row r="110" spans="2:5">
      <c r="B110" s="9" t="s">
        <v>130</v>
      </c>
      <c r="C110" s="10" t="str">
        <f>HYPERLINK("#2008年度以前の試験結果一覧!D"&amp;MATCH("プリムベビー*",'2008年度以前の試験結果一覧'!D:D,0),"プリムベビー")</f>
        <v>プリムベビー</v>
      </c>
      <c r="D110" s="13" t="s">
        <v>152</v>
      </c>
      <c r="E110" s="159" t="s">
        <v>39</v>
      </c>
    </row>
    <row r="111" spans="2:5">
      <c r="B111" s="9" t="s">
        <v>130</v>
      </c>
      <c r="C111" s="10" t="str">
        <f>HYPERLINK("#2008年度以前の試験結果一覧!D"&amp;MATCH("プリムロング*",'2008年度以前の試験結果一覧'!D:D,0),"プリムロング")</f>
        <v>プリムロング</v>
      </c>
      <c r="D111" s="13" t="s">
        <v>152</v>
      </c>
      <c r="E111" s="19" t="s">
        <v>153</v>
      </c>
    </row>
    <row r="112" spans="2:5">
      <c r="B112" s="9" t="s">
        <v>130</v>
      </c>
      <c r="C112" s="10" t="str">
        <f>HYPERLINK("#2008年度以前の試験結果一覧!D"&amp;MATCH("マキシコシチャイルド*",'2008年度以前の試験結果一覧'!D:D,0),"マキシコシチャイルド")</f>
        <v>マキシコシチャイルド</v>
      </c>
      <c r="D112" s="13" t="s">
        <v>152</v>
      </c>
      <c r="E112" s="12" t="s">
        <v>146</v>
      </c>
    </row>
    <row r="113" spans="2:5">
      <c r="B113" s="9" t="s">
        <v>130</v>
      </c>
      <c r="C113" s="10" t="str">
        <f>HYPERLINK("#2008年度以前の試験結果一覧!D"&amp;MATCH("マキシコシベビー*",'2008年度以前の試験結果一覧'!D:D,0),"マキシコシベビー")</f>
        <v>マキシコシベビー</v>
      </c>
      <c r="D113" s="13" t="s">
        <v>152</v>
      </c>
      <c r="E113" s="159" t="s">
        <v>39</v>
      </c>
    </row>
    <row r="114" spans="2:5">
      <c r="B114" s="9" t="s">
        <v>130</v>
      </c>
      <c r="C114" s="10" t="str">
        <f>HYPERLINK("#2009年度以降の試験結果一覧!D"&amp;MATCH("ママロン*",'2009年度以降の試験結果一覧'!D:D,0),"ママロン")</f>
        <v>ママロン</v>
      </c>
      <c r="D114" s="13" t="s">
        <v>167</v>
      </c>
      <c r="E114" s="19" t="s">
        <v>153</v>
      </c>
    </row>
    <row r="115" spans="2:5">
      <c r="B115" s="9" t="s">
        <v>130</v>
      </c>
      <c r="C115" s="10" t="str">
        <f>HYPERLINK("#2009年度以降の試験結果一覧!D"&amp;MATCH("マルゴット*",'2009年度以降の試験結果一覧'!D:D,0),"マルゴット")</f>
        <v>マルゴット</v>
      </c>
      <c r="D115" s="13" t="s">
        <v>167</v>
      </c>
      <c r="E115" s="19" t="s">
        <v>153</v>
      </c>
    </row>
    <row r="116" spans="2:5">
      <c r="B116" s="9" t="s">
        <v>130</v>
      </c>
      <c r="C116" s="10" t="str">
        <f>HYPERLINK("#2009年度以降の試験結果一覧!D"&amp;MATCH("ラクティアターン*",'2009年度以降の試験結果一覧'!D:D,0),"ラクティアターン")</f>
        <v>ラクティアターン</v>
      </c>
      <c r="D116" s="13" t="s">
        <v>167</v>
      </c>
      <c r="E116" s="19" t="s">
        <v>153</v>
      </c>
    </row>
    <row r="117" spans="2:5">
      <c r="B117" s="9" t="s">
        <v>551</v>
      </c>
      <c r="C117" s="10" t="str">
        <f>HYPERLINK("#2009年度以降の試験結果一覧!D"&amp;MATCH("サイベックス・パラス G2",'2009年度以降の試験結果一覧'!D:D,0),"パラス G2")</f>
        <v>パラス G2</v>
      </c>
      <c r="D117" s="17" t="s">
        <v>145</v>
      </c>
      <c r="E117" s="12" t="s">
        <v>146</v>
      </c>
    </row>
    <row r="118" spans="2:5">
      <c r="B118" s="9" t="s">
        <v>551</v>
      </c>
      <c r="C118" s="10" t="str">
        <f>HYPERLINK("#2009年度以降の試験結果一覧!D"&amp;MATCH("サイベックス・パラス G i-Size",'2009年度以降の試験結果一覧'!D:D,0),"パラス G i-Size")</f>
        <v>パラス G i-Size</v>
      </c>
      <c r="D118" s="17" t="s">
        <v>145</v>
      </c>
      <c r="E118" s="12" t="s">
        <v>146</v>
      </c>
    </row>
    <row r="119" spans="2:5" ht="21">
      <c r="B119" s="9" t="s">
        <v>170</v>
      </c>
      <c r="C119" s="325" t="str">
        <f>HYPERLINK("#2009年度以降の試験結果一覧!D"&amp;MATCH("ハーネスジュニアISOFIX [ISO-FIX固定]",'2009年度以降の試験結果一覧'!D:D,0),"Cradle・ハーネスジュニアISOFIX [ISO-FIX固定]")</f>
        <v>Cradle・ハーネスジュニアISOFIX [ISO-FIX固定]</v>
      </c>
      <c r="D119" s="18" t="s">
        <v>166</v>
      </c>
      <c r="E119" s="12" t="s">
        <v>146</v>
      </c>
    </row>
    <row r="120" spans="2:5" ht="21">
      <c r="B120" s="9" t="s">
        <v>170</v>
      </c>
      <c r="C120" s="325" t="str">
        <f>HYPERLINK("#2009年度以降の試験結果一覧!D"&amp;MATCH("ハーネスジュニアISOFIX [ベルト固定]",'2009年度以降の試験結果一覧'!D:D,0),"Cradle・ハーネスジュニアISOFIX [ベルト固定]")</f>
        <v>Cradle・ハーネスジュニアISOFIX [ベルト固定]</v>
      </c>
      <c r="D120" s="18" t="s">
        <v>166</v>
      </c>
      <c r="E120" s="12" t="s">
        <v>146</v>
      </c>
    </row>
    <row r="121" spans="2:5">
      <c r="B121" s="9" t="s">
        <v>170</v>
      </c>
      <c r="C121" s="10" t="str">
        <f>HYPERLINK("#2009年度以降の試験結果一覧!D"&amp;MATCH("ジュニアシート・ミニーマウス",'2009年度以降の試験結果一覧'!D:D,0),"Disney baby・ジュニアシート・ミニーマウス")</f>
        <v>Disney baby・ジュニアシート・ミニーマウス</v>
      </c>
      <c r="D121" s="13" t="s">
        <v>152</v>
      </c>
      <c r="E121" s="12" t="s">
        <v>146</v>
      </c>
    </row>
    <row r="122" spans="2:5">
      <c r="B122" s="9" t="s">
        <v>170</v>
      </c>
      <c r="C122" s="10" t="str">
        <f>HYPERLINK("#2009年度以降の試験結果一覧!D"&amp;MATCH("HGデニム・ハーネス*",'2009年度以降の試験結果一覧'!D:D,0),"MUM'S CARRY・HGデニム・ハーネス")</f>
        <v>MUM'S CARRY・HGデニム・ハーネス</v>
      </c>
      <c r="D122" s="13" t="s">
        <v>152</v>
      </c>
      <c r="E122" s="12" t="s">
        <v>146</v>
      </c>
    </row>
    <row r="123" spans="2:5">
      <c r="B123" s="9" t="s">
        <v>170</v>
      </c>
      <c r="C123" s="10" t="str">
        <f>HYPERLINK("#2009年度以降の試験結果一覧!D"&amp;MATCH("ベビーFUNハーネスネオ*",'2009年度以降の試験結果一覧'!D:D,0),"MUM'S CARRY・ベビーFUNハーネスネオ")</f>
        <v>MUM'S CARRY・ベビーFUNハーネスネオ</v>
      </c>
      <c r="D123" s="13" t="s">
        <v>167</v>
      </c>
      <c r="E123" s="12" t="s">
        <v>146</v>
      </c>
    </row>
    <row r="124" spans="2:5">
      <c r="B124" s="9" t="s">
        <v>170</v>
      </c>
      <c r="C124" s="10" t="str">
        <f>HYPERLINK("#2009年度以降の試験結果一覧!D"&amp;MATCH("マムズキャリーブライトⅡ*",'2009年度以降の試験結果一覧'!D:D,0),"MUM'S CARRY・マムズキャリーブライトⅡ")</f>
        <v>MUM'S CARRY・マムズキャリーブライトⅡ</v>
      </c>
      <c r="D124" s="13" t="s">
        <v>167</v>
      </c>
      <c r="E124" s="159" t="s">
        <v>39</v>
      </c>
    </row>
    <row r="125" spans="2:5">
      <c r="B125" s="9" t="s">
        <v>170</v>
      </c>
      <c r="C125" s="10" t="str">
        <f>HYPERLINK("#2009年度以降の試験結果一覧!D"&amp;MATCH("マムズキャリーレジェ*",'2009年度以降の試験結果一覧'!D:D,0),"MUM'S CARRY・マムズキャリーレジェ")</f>
        <v>MUM'S CARRY・マムズキャリーレジェ</v>
      </c>
      <c r="D125" s="13" t="s">
        <v>167</v>
      </c>
      <c r="E125" s="19" t="s">
        <v>153</v>
      </c>
    </row>
    <row r="126" spans="2:5">
      <c r="B126" s="9" t="s">
        <v>170</v>
      </c>
      <c r="C126" s="10" t="str">
        <f t="array" ref="C126">HYPERLINK("#2009年度以降の試験結果一覧!D"&amp;MATCH("ターンレジェネクストST",'2009年度以降の試験結果一覧'!D:D,0),"SmartAngel・ターンレジェネクストST")</f>
        <v>SmartAngel・ターンレジェネクストST</v>
      </c>
      <c r="D126" s="17" t="s">
        <v>145</v>
      </c>
      <c r="E126" s="19" t="s">
        <v>153</v>
      </c>
    </row>
    <row r="127" spans="2:5" ht="21">
      <c r="B127" s="9" t="s">
        <v>170</v>
      </c>
      <c r="C127" s="325" t="str">
        <f>HYPERLINK("#2009年度以降の試験結果一覧!D"&amp;MATCH("ハーネスジュニアFIX-BR [ISO-FIX固定]",'2009年度以降の試験結果一覧'!D:D,0),"SmartAngel・ハーネスジュニアFIX-BR　[ISO-FIX固定]")</f>
        <v>SmartAngel・ハーネスジュニアFIX-BR　[ISO-FIX固定]</v>
      </c>
      <c r="D127" s="18" t="s">
        <v>166</v>
      </c>
      <c r="E127" s="12" t="s">
        <v>146</v>
      </c>
    </row>
    <row r="128" spans="2:5" ht="21">
      <c r="B128" s="9" t="s">
        <v>170</v>
      </c>
      <c r="C128" s="325" t="str">
        <f>HYPERLINK("#2009年度以降の試験結果一覧!D"&amp;MATCH("ハーネスジュニアFIX-BR [ベルト固定]",'2009年度以降の試験結果一覧'!D:D,0),"SmartAngel・ハーネスジュニアFIX-BR　[ベルト固定]")</f>
        <v>SmartAngel・ハーネスジュニアFIX-BR　[ベルト固定]</v>
      </c>
      <c r="D128" s="18" t="s">
        <v>166</v>
      </c>
      <c r="E128" s="12" t="s">
        <v>146</v>
      </c>
    </row>
    <row r="129" spans="2:5">
      <c r="B129" s="9" t="s">
        <v>170</v>
      </c>
      <c r="C129" s="10" t="str">
        <f>HYPERLINK("#2009年度以降の試験結果一覧!D"&amp;MATCH("レジェ プラス",'2009年度以降の試験結果一覧'!D:D,0),"SmartAngel・レジェ プラス")</f>
        <v>SmartAngel・レジェ プラス</v>
      </c>
      <c r="D129" s="13" t="s">
        <v>152</v>
      </c>
      <c r="E129" s="19" t="s">
        <v>153</v>
      </c>
    </row>
    <row r="130" spans="2:5">
      <c r="B130" s="9" t="s">
        <v>140</v>
      </c>
      <c r="C130" s="10" t="str">
        <f>HYPERLINK("#2008年度以前の試験結果一覧!D"&amp;MATCH("*ハイパーベスト*",'2008年度以前の試験結果一覧'!D:D,0),"ハイパーベスト")</f>
        <v>ハイパーベスト</v>
      </c>
      <c r="D130" s="13" t="s">
        <v>152</v>
      </c>
      <c r="E130" s="12" t="s">
        <v>146</v>
      </c>
    </row>
    <row r="131" spans="2:5">
      <c r="B131" s="9" t="s">
        <v>161</v>
      </c>
      <c r="C131" s="10" t="str">
        <f>HYPERLINK("#2009年度以降の試験結果一覧!D"&amp;MATCH("Child Guard1.0*",'2009年度以降の試験結果一覧'!D:D,0),"Child Guard1.0")</f>
        <v>Child Guard1.0</v>
      </c>
      <c r="D131" s="17" t="s">
        <v>145</v>
      </c>
      <c r="E131" s="19" t="s">
        <v>153</v>
      </c>
    </row>
    <row r="132" spans="2:5">
      <c r="B132" s="9" t="s">
        <v>138</v>
      </c>
      <c r="C132" s="325" t="str">
        <f>HYPERLINK("#2009年度以降の試験結果一覧!D"&amp;MATCH("*pops*",'2009年度以降の試験結果一覧'!D:D,0),"takata04-beans (試験製品:takata04-pops)")</f>
        <v>takata04-beans (試験製品:takata04-pops)</v>
      </c>
      <c r="D132" s="13" t="s">
        <v>152</v>
      </c>
      <c r="E132" s="19" t="s">
        <v>153</v>
      </c>
    </row>
    <row r="133" spans="2:5">
      <c r="B133" s="9" t="s">
        <v>138</v>
      </c>
      <c r="C133" s="10" t="str">
        <f>HYPERLINK("#2008年度以前の試験結果一覧!D"&amp;MATCH("*comfyN*",'2008年度以前の試験結果一覧'!D:D,0),"takata04-comfyN")</f>
        <v>takata04-comfyN</v>
      </c>
      <c r="D133" s="13" t="s">
        <v>152</v>
      </c>
      <c r="E133" s="19" t="s">
        <v>153</v>
      </c>
    </row>
    <row r="134" spans="2:5">
      <c r="B134" s="9" t="s">
        <v>138</v>
      </c>
      <c r="C134" s="10" t="str">
        <f>HYPERLINK("#2008年度以前の試験結果一覧!D"&amp;MATCH("*facil*",'2008年度以前の試験結果一覧'!D:D,0),"takata04-facil")</f>
        <v>takata04-facil</v>
      </c>
      <c r="D134" s="13" t="s">
        <v>152</v>
      </c>
      <c r="E134" s="19" t="s">
        <v>153</v>
      </c>
    </row>
    <row r="135" spans="2:5">
      <c r="B135" s="9" t="s">
        <v>165</v>
      </c>
      <c r="C135" s="10" t="str">
        <f t="array" ref="C135">HYPERLINK("#2009年度以降の試験結果一覧!D"&amp;MATCH("*ｉ fix*"&amp;12,'2009年度以降の試験結果一覧'!D:D&amp;'2009年度以降の試験結果一覧'!F:F,0),"takata04-i fix")</f>
        <v>takata04-i fix</v>
      </c>
      <c r="D135" s="17" t="s">
        <v>145</v>
      </c>
      <c r="E135" s="19" t="s">
        <v>153</v>
      </c>
    </row>
    <row r="136" spans="2:5">
      <c r="B136" s="9" t="s">
        <v>165</v>
      </c>
      <c r="C136" s="10" t="str">
        <f>HYPERLINK("#2009年度以降の試験結果一覧!D"&amp;MATCH("*ｉ fix WS*",'2009年度以降の試験結果一覧'!D:D,0),"takata04-i fix WS")</f>
        <v>takata04-i fix WS</v>
      </c>
      <c r="D136" s="17" t="s">
        <v>145</v>
      </c>
      <c r="E136" s="19" t="s">
        <v>153</v>
      </c>
    </row>
    <row r="137" spans="2:5">
      <c r="B137" s="9" t="s">
        <v>138</v>
      </c>
      <c r="C137" s="10" t="str">
        <f>HYPERLINK("#2008年度以前の試験結果一覧!D"&amp;MATCH("*04-neo*",'2008年度以前の試験結果一覧'!D:D,0),"takata04-neo")</f>
        <v>takata04-neo</v>
      </c>
      <c r="D137" s="13" t="s">
        <v>152</v>
      </c>
      <c r="E137" s="19" t="s">
        <v>153</v>
      </c>
    </row>
    <row r="138" spans="2:5">
      <c r="B138" s="9" t="s">
        <v>138</v>
      </c>
      <c r="C138" s="10" t="str">
        <f>HYPERLINK("#2009年度以降の試験結果一覧!D"&amp;MATCH("*neo premium*",'2009年度以降の試験結果一覧'!D:D,0),"takata04-neo premium")</f>
        <v>takata04-neo premium</v>
      </c>
      <c r="D138" s="13" t="s">
        <v>167</v>
      </c>
      <c r="E138" s="19" t="s">
        <v>153</v>
      </c>
    </row>
    <row r="139" spans="2:5">
      <c r="B139" s="9" t="s">
        <v>138</v>
      </c>
      <c r="C139" s="10" t="str">
        <f>HYPERLINK("#2009年度以降の試験結果一覧!D"&amp;MATCH("*neo SF*",'2009年度以降の試験結果一覧'!D:D,0),"takata04-neo SF")</f>
        <v>takata04-neo SF</v>
      </c>
      <c r="D139" s="13" t="s">
        <v>167</v>
      </c>
      <c r="E139" s="19" t="s">
        <v>153</v>
      </c>
    </row>
    <row r="140" spans="2:5">
      <c r="B140" s="9" t="s">
        <v>138</v>
      </c>
      <c r="C140" s="10" t="str">
        <f>HYPERLINK("#2009年度以降の試験結果一覧!D"&amp;MATCH("*pops*",'2009年度以降の試験結果一覧'!D:D,0),"takata04-pops")</f>
        <v>takata04-pops</v>
      </c>
      <c r="D140" s="13" t="s">
        <v>167</v>
      </c>
      <c r="E140" s="19" t="s">
        <v>153</v>
      </c>
    </row>
    <row r="141" spans="2:5">
      <c r="B141" s="9" t="s">
        <v>138</v>
      </c>
      <c r="C141" s="10" t="str">
        <f t="array" ref="C141">HYPERLINK("#2009年度以降の試験結果一覧!D"&amp;MATCH("*smartfix*"&amp;10,'2009年度以降の試験結果一覧'!D:D&amp;'2009年度以降の試験結果一覧'!F:F,0),"takata04-smartfix")</f>
        <v>takata04-smartfix</v>
      </c>
      <c r="D141" s="13" t="s">
        <v>167</v>
      </c>
      <c r="E141" s="19" t="s">
        <v>153</v>
      </c>
    </row>
    <row r="142" spans="2:5">
      <c r="B142" s="9" t="s">
        <v>138</v>
      </c>
      <c r="C142" s="10" t="str">
        <f>HYPERLINK("#2009年度以降の試験結果一覧!D"&amp;MATCH("*smartfix basic*",'2009年度以降の試験結果一覧'!D:D,0),"takata04-smartfix basic")</f>
        <v>takata04-smartfix basic</v>
      </c>
      <c r="D142" s="13" t="s">
        <v>167</v>
      </c>
      <c r="E142" s="19" t="s">
        <v>153</v>
      </c>
    </row>
    <row r="143" spans="2:5">
      <c r="B143" s="9" t="s">
        <v>138</v>
      </c>
      <c r="C143" s="10" t="str">
        <f>HYPERLINK("#2008年度以前の試験結果一覧!D"&amp;MATCH("*symphonyEC*",'2008年度以前の試験結果一覧'!D:D,0),"takata04-symphonyEC")</f>
        <v>takata04-symphonyEC</v>
      </c>
      <c r="D143" s="13" t="s">
        <v>152</v>
      </c>
      <c r="E143" s="19" t="s">
        <v>153</v>
      </c>
    </row>
    <row r="144" spans="2:5">
      <c r="B144" s="9" t="s">
        <v>138</v>
      </c>
      <c r="C144" s="10" t="str">
        <f>HYPERLINK("#2008年度以前の試験結果一覧!D"&amp;MATCH("*system3.0*",'2008年度以前の試験結果一覧'!D:D,0),"takata04-system3.0")</f>
        <v>takata04-system3.0</v>
      </c>
      <c r="D144" s="13" t="s">
        <v>152</v>
      </c>
      <c r="E144" s="19" t="s">
        <v>153</v>
      </c>
    </row>
    <row r="145" spans="2:5">
      <c r="B145" s="9" t="s">
        <v>138</v>
      </c>
      <c r="C145" s="10" t="str">
        <f>HYPERLINK("#2008年度以前の試験結果一覧!D"&amp;MATCH("*G-Child*",'2008年度以前の試験結果一覧'!D:D,0),"トヨタ G-child plus")</f>
        <v>トヨタ G-child plus</v>
      </c>
      <c r="D145" s="13" t="s">
        <v>152</v>
      </c>
      <c r="E145" s="19" t="s">
        <v>153</v>
      </c>
    </row>
    <row r="146" spans="2:5">
      <c r="B146" s="9" t="s">
        <v>138</v>
      </c>
      <c r="C146" s="10" t="str">
        <f>HYPERLINK("#2008年度以前の試験結果一覧!D"&amp;MATCH("*ミリブ3500*",'2008年度以前の試験結果一覧'!D:D,0),"ミリブ3500")</f>
        <v>ミリブ3500</v>
      </c>
      <c r="D146" s="13" t="s">
        <v>152</v>
      </c>
      <c r="E146" s="19" t="s">
        <v>153</v>
      </c>
    </row>
    <row r="147" spans="2:5">
      <c r="B147" s="9" t="s">
        <v>138</v>
      </c>
      <c r="C147" s="10" t="str">
        <f t="array" ref="C147">HYPERLINK("#2008年度以前の試験結果一覧!D"&amp;MATCH("ミリブ4000*"&amp;1,'2008年度以前の試験結果一覧'!D:D&amp;'2008年度以前の試験結果一覧'!F:F,0),"ミリブ4000")</f>
        <v>ミリブ4000</v>
      </c>
      <c r="D147" s="13" t="s">
        <v>152</v>
      </c>
      <c r="E147" s="19" t="s">
        <v>153</v>
      </c>
    </row>
    <row r="148" spans="2:5">
      <c r="B148" s="9" t="s">
        <v>138</v>
      </c>
      <c r="C148" s="10" t="str">
        <f>HYPERLINK("#2008年度以前の試験結果一覧!D"&amp;MATCH("*ミリブ4000EX*",'2008年度以前の試験結果一覧'!D:D,0),"ミリブ4000EX")</f>
        <v>ミリブ4000EX</v>
      </c>
      <c r="D148" s="13" t="s">
        <v>152</v>
      </c>
      <c r="E148" s="19" t="s">
        <v>153</v>
      </c>
    </row>
    <row r="149" spans="2:5">
      <c r="B149" s="9" t="s">
        <v>138</v>
      </c>
      <c r="C149" s="10" t="str">
        <f>HYPERLINK("#2008年度以前の試験結果一覧!D"&amp;MATCH("*ミリブ6000*",'2008年度以前の試験結果一覧'!D:D,0),"ミリブ6000")</f>
        <v>ミリブ6000</v>
      </c>
      <c r="D149" s="13" t="s">
        <v>152</v>
      </c>
      <c r="E149" s="19" t="s">
        <v>153</v>
      </c>
    </row>
    <row r="150" spans="2:5">
      <c r="B150" s="9" t="s">
        <v>132</v>
      </c>
      <c r="C150" s="10" t="str">
        <f>HYPERLINK("#2008年度以前の試験結果一覧!D"&amp;MATCH("*PAOPAO チャイルド*",'2008年度以前の試験結果一覧'!D:D,0),"PAOPAO チャイルド")</f>
        <v>PAOPAO チャイルド</v>
      </c>
      <c r="D150" s="13" t="s">
        <v>152</v>
      </c>
      <c r="E150" s="12" t="s">
        <v>146</v>
      </c>
    </row>
    <row r="151" spans="2:5">
      <c r="B151" s="9" t="s">
        <v>132</v>
      </c>
      <c r="C151" s="10" t="str">
        <f>HYPERLINK("#2008年度以前の試験結果一覧!D"&amp;MATCH("*PAOPAOベビーNS*",'2008年度以前の試験結果一覧'!D:D,0),"PAOPAOベビーNS")</f>
        <v>PAOPAOベビーNS</v>
      </c>
      <c r="D151" s="13" t="s">
        <v>152</v>
      </c>
      <c r="E151" s="159" t="s">
        <v>39</v>
      </c>
    </row>
    <row r="152" spans="2:5">
      <c r="B152" s="9" t="s">
        <v>134</v>
      </c>
      <c r="C152" s="10" t="str">
        <f>HYPERLINK("#2008年度以前の試験結果一覧!D"&amp;MATCH("NEWトラベルベスト*",'2008年度以前の試験結果一覧'!D:D,0),"NEWトラベルベスト")</f>
        <v>NEWトラベルベスト</v>
      </c>
      <c r="D152" s="13" t="s">
        <v>152</v>
      </c>
      <c r="E152" s="12" t="s">
        <v>146</v>
      </c>
    </row>
    <row r="153" spans="2:5">
      <c r="B153" s="9" t="s">
        <v>134</v>
      </c>
      <c r="C153" s="10" t="str">
        <f>HYPERLINK("#2008年度以前の試験結果一覧!D"&amp;MATCH("スーパーキャリー [2点固定]*",'2008年度以前の試験結果一覧'!D:D,0),"スーパーキャリー [2点固定]")</f>
        <v>スーパーキャリー [2点固定]</v>
      </c>
      <c r="D153" s="13" t="s">
        <v>152</v>
      </c>
      <c r="E153" s="159" t="s">
        <v>39</v>
      </c>
    </row>
    <row r="154" spans="2:5">
      <c r="B154" s="9" t="s">
        <v>134</v>
      </c>
      <c r="C154" s="10" t="str">
        <f>HYPERLINK("#2008年度以前の試験結果一覧!D"&amp;MATCH("スーパーキャリー [3点固定]*",'2008年度以前の試験結果一覧'!D:D,0),"スーパーキャリー [3点固定]")</f>
        <v>スーパーキャリー [3点固定]</v>
      </c>
      <c r="D154" s="13" t="s">
        <v>152</v>
      </c>
      <c r="E154" s="159" t="s">
        <v>39</v>
      </c>
    </row>
    <row r="155" spans="2:5">
      <c r="B155" s="9" t="s">
        <v>134</v>
      </c>
      <c r="C155" s="10" t="str">
        <f>HYPERLINK("#2008年度以前の試験結果一覧!D"&amp;MATCH("トラベルベスト*",'2008年度以前の試験結果一覧'!D:D,0),"トラベルベスト")</f>
        <v>トラベルベスト</v>
      </c>
      <c r="D155" s="13" t="s">
        <v>152</v>
      </c>
      <c r="E155" s="12" t="s">
        <v>146</v>
      </c>
    </row>
    <row r="156" spans="2:5">
      <c r="B156" s="9" t="s">
        <v>134</v>
      </c>
      <c r="C156" s="10" t="str">
        <f t="array" ref="C156">HYPERLINK("#2009年度以降の試験結果一覧!D"&amp;MATCH("トラベルベストEC*"&amp;12,'2009年度以降の試験結果一覧'!D:D&amp;'2009年度以降の試験結果一覧'!F:F,0),"トラベルベストEC")</f>
        <v>トラベルベストEC</v>
      </c>
      <c r="D156" s="13" t="s">
        <v>152</v>
      </c>
      <c r="E156" s="12" t="s">
        <v>146</v>
      </c>
    </row>
    <row r="157" spans="2:5">
      <c r="B157" s="9" t="s">
        <v>134</v>
      </c>
      <c r="C157" s="10" t="str">
        <f>HYPERLINK("#2009年度以降の試験結果一覧!D"&amp;MATCH("トラベルベストECプラス*",'2009年度以降の試験結果一覧'!D:D,0),"トラベルベストECプラス")</f>
        <v>トラベルベストECプラス</v>
      </c>
      <c r="D157" s="13" t="s">
        <v>152</v>
      </c>
      <c r="E157" s="12" t="s">
        <v>146</v>
      </c>
    </row>
    <row r="158" spans="2:5">
      <c r="B158" s="9" t="s">
        <v>134</v>
      </c>
      <c r="C158" s="10" t="str">
        <f>HYPERLINK("#2008年度以前の試験結果一覧!D"&amp;MATCH("ハイバックブースター*",'2008年度以前の試験結果一覧'!D:D,0),"ハイバックブースター")</f>
        <v>ハイバックブースター</v>
      </c>
      <c r="D158" s="13" t="s">
        <v>152</v>
      </c>
      <c r="E158" s="12" t="s">
        <v>146</v>
      </c>
    </row>
    <row r="159" spans="2:5">
      <c r="B159" s="9" t="s">
        <v>134</v>
      </c>
      <c r="C159" s="10" t="str">
        <f t="array" ref="C159">HYPERLINK("#2009年度以降の試験結果一覧!D"&amp;MATCH("ハイバックブースターEC*"&amp;12,'2009年度以降の試験結果一覧'!D:D&amp;'2009年度以降の試験結果一覧'!F:F,0),"ハイバックブースターEC")</f>
        <v>ハイバックブースターEC</v>
      </c>
      <c r="D159" s="13" t="s">
        <v>152</v>
      </c>
      <c r="E159" s="12" t="s">
        <v>146</v>
      </c>
    </row>
    <row r="160" spans="2:5">
      <c r="B160" s="9" t="s">
        <v>134</v>
      </c>
      <c r="C160" s="10" t="str">
        <f>HYPERLINK("#2009年度以降の試験結果一覧!D"&amp;MATCH("*EC Ⅱ Air*",'2009年度以降の試験結果一覧'!D:D,0),"ハイバックブースターEC Ⅱ Air")</f>
        <v>ハイバックブースターEC Ⅱ Air</v>
      </c>
      <c r="D160" s="13" t="s">
        <v>152</v>
      </c>
      <c r="E160" s="12" t="s">
        <v>146</v>
      </c>
    </row>
    <row r="161" spans="2:5">
      <c r="B161" s="9" t="s">
        <v>134</v>
      </c>
      <c r="C161" s="10" t="str">
        <f t="array" ref="C161">HYPERLINK("#2009年度以降の試験結果一覧!D"&amp;MATCH("ハイバックブースタールージュ*"&amp;19,'2009年度以降の試験結果一覧'!D:D&amp;'2009年度以降の試験結果一覧'!F:F,0),"ハイバックブースタールージュ")</f>
        <v>ハイバックブースタールージュ</v>
      </c>
      <c r="D161" s="13" t="s">
        <v>152</v>
      </c>
      <c r="E161" s="12" t="s">
        <v>146</v>
      </c>
    </row>
    <row r="162" spans="2:5">
      <c r="B162" s="9" t="s">
        <v>134</v>
      </c>
      <c r="C162" s="10" t="str">
        <f>HYPERLINK("#2009年度以降の試験結果一覧!D"&amp;MATCH("バンビーノ04*",'2009年度以降の試験結果一覧'!D:D,0),"バンビーノ04")</f>
        <v>バンビーノ04</v>
      </c>
      <c r="D162" s="13" t="s">
        <v>167</v>
      </c>
      <c r="E162" s="19" t="s">
        <v>153</v>
      </c>
    </row>
    <row r="163" spans="2:5">
      <c r="B163" s="9" t="s">
        <v>134</v>
      </c>
      <c r="C163" s="10" t="str">
        <f>HYPERLINK("#2009年度以降の試験結果一覧!D"&amp;MATCH("ベビーズシート*",'2009年度以降の試験結果一覧'!D:D,0),"ベビーズシート")</f>
        <v>ベビーズシート</v>
      </c>
      <c r="D163" s="13" t="s">
        <v>167</v>
      </c>
      <c r="E163" s="159" t="s">
        <v>39</v>
      </c>
    </row>
    <row r="164" spans="2:5">
      <c r="B164" s="9" t="s">
        <v>168</v>
      </c>
      <c r="C164" s="10" t="str">
        <f>HYPERLINK("#2009年度以降の試験結果一覧!D"&amp;MATCH("cuna*",'2009年度以降の試験結果一覧'!D:D,0),"cuna")</f>
        <v>cuna</v>
      </c>
      <c r="D164" s="13" t="s">
        <v>167</v>
      </c>
      <c r="E164" s="19" t="s">
        <v>153</v>
      </c>
    </row>
    <row r="165" spans="2:5">
      <c r="B165" s="9" t="s">
        <v>168</v>
      </c>
      <c r="C165" s="10" t="str">
        <f>HYPERLINK("#2009年度以降の試験結果一覧!D"&amp;MATCH("Cupio*",'2009年度以降の試験結果一覧'!D:D,0),"Cupio")</f>
        <v>Cupio</v>
      </c>
      <c r="D165" s="13" t="s">
        <v>167</v>
      </c>
      <c r="E165" s="19" t="s">
        <v>153</v>
      </c>
    </row>
    <row r="166" spans="2:5">
      <c r="B166" s="9" t="s">
        <v>168</v>
      </c>
      <c r="C166" s="10" t="str">
        <f>HYPERLINK("#2009年度以降の試験結果一覧!D"&amp;MATCH("Oreille",'2009年度以降の試験結果一覧'!D:D,0),"Oreille")</f>
        <v>Oreille</v>
      </c>
      <c r="D166" s="13" t="s">
        <v>167</v>
      </c>
      <c r="E166" s="19" t="s">
        <v>153</v>
      </c>
    </row>
    <row r="167" spans="2:5">
      <c r="B167" s="9" t="s">
        <v>159</v>
      </c>
      <c r="C167" s="10" t="str">
        <f>HYPERLINK("#2009年度以降の試験結果一覧!D"&amp;MATCH("Oreille mou",'2009年度以降の試験結果一覧'!D:D,0),"Oreille mou")</f>
        <v>Oreille mou</v>
      </c>
      <c r="D167" s="13" t="s">
        <v>152</v>
      </c>
      <c r="E167" s="19" t="s">
        <v>153</v>
      </c>
    </row>
    <row r="168" spans="2:5">
      <c r="B168" s="9" t="s">
        <v>159</v>
      </c>
      <c r="C168" s="10" t="str">
        <f>HYPERLINK("#2008年度以前の試験結果一覧!D"&amp;MATCH("*フィックスマックス*",'2008年度以前の試験結果一覧'!D:D,0),"ピジョンコンコルドフィックスマックス")</f>
        <v>ピジョンコンコルドフィックスマックス</v>
      </c>
      <c r="D168" s="13" t="s">
        <v>152</v>
      </c>
      <c r="E168" s="12" t="s">
        <v>146</v>
      </c>
    </row>
    <row r="169" spans="2:5">
      <c r="B169" s="9" t="s">
        <v>129</v>
      </c>
      <c r="C169" s="10" t="str">
        <f>HYPERLINK("#2008年度以前の試験結果一覧!D"&amp;MATCH("*カブリオフィックス*",'2008年度以前の試験結果一覧'!D:D,0),"マキシコシ・カブリオフィックス")</f>
        <v>マキシコシ・カブリオフィックス</v>
      </c>
      <c r="D169" s="13" t="s">
        <v>152</v>
      </c>
      <c r="E169" s="159" t="s">
        <v>39</v>
      </c>
    </row>
    <row r="170" spans="2:5">
      <c r="B170" s="9" t="s">
        <v>141</v>
      </c>
      <c r="C170" s="10" t="str">
        <f>HYPERLINK("#2008年度以前の試験結果一覧!D"&amp;MATCH("*ファンキッズ*",'2008年度以前の試験結果一覧'!D:D,0),"ファンキッズ")</f>
        <v>ファンキッズ</v>
      </c>
      <c r="D170" s="13" t="s">
        <v>152</v>
      </c>
      <c r="E170" s="12" t="s">
        <v>146</v>
      </c>
    </row>
    <row r="171" spans="2:5">
      <c r="B171" s="9" t="s">
        <v>164</v>
      </c>
      <c r="C171" s="10" t="str">
        <f>HYPERLINK("#2009年度以降の試験結果一覧!D"&amp;MATCH("iA01*",'2009年度以降の試験結果一覧'!D:D,0),"iA01")</f>
        <v>iA01</v>
      </c>
      <c r="D171" s="17" t="s">
        <v>145</v>
      </c>
      <c r="E171" s="19" t="s">
        <v>153</v>
      </c>
    </row>
    <row r="172" spans="2:5">
      <c r="B172" s="9" t="s">
        <v>171</v>
      </c>
      <c r="C172" s="10" t="str">
        <f>HYPERLINK("#2009年度以降の試験結果一覧!D"&amp;MATCH("カイナ*",'2009年度以降の試験結果一覧'!D:D,0),"カイナ")</f>
        <v>カイナ</v>
      </c>
      <c r="D172" s="13" t="s">
        <v>167</v>
      </c>
      <c r="E172" s="19" t="s">
        <v>153</v>
      </c>
    </row>
    <row r="173" spans="2:5">
      <c r="B173" s="9" t="s">
        <v>137</v>
      </c>
      <c r="C173" s="10" t="str">
        <f>HYPERLINK("#2009年度以降の試験結果一覧!D"&amp;MATCH("ネディアップ*",'2009年度以降の試験結果一覧'!D:D,0),"ネディアップ")</f>
        <v>ネディアップ</v>
      </c>
      <c r="D173" s="13" t="s">
        <v>167</v>
      </c>
      <c r="E173" s="19" t="s">
        <v>153</v>
      </c>
    </row>
    <row r="174" spans="2:5">
      <c r="B174" s="9" t="s">
        <v>137</v>
      </c>
      <c r="C174" s="10" t="str">
        <f>HYPERLINK("#2008年度以前の試験結果一覧!D"&amp;MATCH("パミオウーノ*",'2008年度以前の試験結果一覧'!D:D,0),"パミオウーノ")</f>
        <v>パミオウーノ</v>
      </c>
      <c r="D174" s="13" t="s">
        <v>152</v>
      </c>
      <c r="E174" s="19" t="s">
        <v>153</v>
      </c>
    </row>
    <row r="175" spans="2:5">
      <c r="B175" s="9" t="s">
        <v>137</v>
      </c>
      <c r="C175" s="10" t="str">
        <f>HYPERLINK("#2008年度以前の試験結果一覧!D"&amp;MATCH("パミオデビューDX*",'2008年度以前の試験結果一覧'!D:D,0),"パミオデビューDX")</f>
        <v>パミオデビューDX</v>
      </c>
      <c r="D175" s="13" t="s">
        <v>152</v>
      </c>
      <c r="E175" s="19" t="s">
        <v>153</v>
      </c>
    </row>
    <row r="176" spans="2:5">
      <c r="B176" s="9" t="s">
        <v>171</v>
      </c>
      <c r="C176" s="10" t="str">
        <f>HYPERLINK("#2009年度以降の試験結果一覧!D"&amp;MATCH("パミオドゥーエ*",'2009年度以降の試験結果一覧'!D:D,0),"パミオドゥーエ")</f>
        <v>パミオドゥーエ</v>
      </c>
      <c r="D176" s="13" t="s">
        <v>167</v>
      </c>
      <c r="E176" s="19" t="s">
        <v>153</v>
      </c>
    </row>
    <row r="177" spans="2:5">
      <c r="B177" s="9" t="s">
        <v>171</v>
      </c>
      <c r="C177" s="10" t="str">
        <f>HYPERLINK("#2009年度以降の試験結果一覧!D"&amp;MATCH("ピピデビュー*",'2009年度以降の試験結果一覧'!D:D,0),"ピピデビュー（E8 045981）")</f>
        <v>ピピデビュー（E8 045981）</v>
      </c>
      <c r="D177" s="13" t="s">
        <v>167</v>
      </c>
      <c r="E177" s="19" t="s">
        <v>153</v>
      </c>
    </row>
    <row r="178" spans="2:5">
      <c r="B178" s="9" t="s">
        <v>137</v>
      </c>
      <c r="C178" s="10" t="str">
        <f t="array" ref="C178">HYPERLINK("#2008年度以前の試験結果一覧!D"&amp;MATCH("ピピデビュー*"&amp;1,'2008年度以前の試験結果一覧'!D:D&amp;'2008年度以前の試験結果一覧'!F:F,0),"ピピデビュー（自C-1013,自C-155）")</f>
        <v>ピピデビュー（自C-1013,自C-155）</v>
      </c>
      <c r="D178" s="13" t="s">
        <v>152</v>
      </c>
      <c r="E178" s="19" t="s">
        <v>153</v>
      </c>
    </row>
    <row r="179" spans="2:5">
      <c r="B179" s="9" t="s">
        <v>137</v>
      </c>
      <c r="C179" s="10" t="str">
        <f>HYPERLINK("#2008年度以前の試験結果一覧!D"&amp;MATCH("ピピデビューN*",'2008年度以前の試験結果一覧'!D:D,0),"ピピデビューN")</f>
        <v>ピピデビューN</v>
      </c>
      <c r="D179" s="13" t="s">
        <v>152</v>
      </c>
      <c r="E179" s="19" t="s">
        <v>153</v>
      </c>
    </row>
    <row r="180" spans="2:5">
      <c r="B180" s="9" t="s">
        <v>137</v>
      </c>
      <c r="C180" s="10" t="str">
        <f>HYPERLINK("#2008年度以前の試験結果一覧!D"&amp;MATCH("*フィットシェル*",'2008年度以前の試験結果一覧'!D:D,0),"ピピデビューフィットシェル")</f>
        <v>ピピデビューフィットシェル</v>
      </c>
      <c r="D180" s="13" t="s">
        <v>152</v>
      </c>
      <c r="E180" s="19" t="s">
        <v>153</v>
      </c>
    </row>
    <row r="181" spans="2:5">
      <c r="B181" s="9" t="s">
        <v>137</v>
      </c>
      <c r="C181" s="10" t="str">
        <f>HYPERLINK("#2009年度以降の試験結果一覧!D"&amp;MATCH("フィーカ*",'2009年度以降の試験結果一覧'!D:D,0),"フィーカ")</f>
        <v>フィーカ</v>
      </c>
      <c r="D181" s="13" t="s">
        <v>152</v>
      </c>
      <c r="E181" s="12" t="s">
        <v>146</v>
      </c>
    </row>
    <row r="182" spans="2:5">
      <c r="B182" s="9" t="s">
        <v>137</v>
      </c>
      <c r="C182" s="10" t="str">
        <f>HYPERLINK("#2008年度以前の試験結果一覧!D"&amp;MATCH("ユーロビギン*",'2008年度以前の試験結果一覧'!D:D,0),"ユーロビギン")</f>
        <v>ユーロビギン</v>
      </c>
      <c r="D182" s="13" t="s">
        <v>152</v>
      </c>
      <c r="E182" s="19" t="s">
        <v>153</v>
      </c>
    </row>
    <row r="183" spans="2:5">
      <c r="B183" s="9" t="s">
        <v>137</v>
      </c>
      <c r="C183" s="10" t="str">
        <f>HYPERLINK("#2009年度以降の試験結果一覧!D"&amp;MATCH("iA01*",'2009年度以降の試験結果一覧'!D:D,0),"レスティロ ISOFIX(試験:iA01)")</f>
        <v>レスティロ ISOFIX(試験:iA01)</v>
      </c>
      <c r="D183" s="17" t="s">
        <v>145</v>
      </c>
      <c r="E183" s="19" t="s">
        <v>153</v>
      </c>
    </row>
    <row r="184" spans="2:5">
      <c r="B184" s="9" t="s">
        <v>137</v>
      </c>
      <c r="C184" s="10" t="str">
        <f>HYPERLINK("#2009年度以降の試験結果一覧!D"&amp;MATCH("ロングフィット*",'2009年度以降の試験結果一覧'!D:D,0),"ロングフィット")</f>
        <v>ロングフィット</v>
      </c>
      <c r="D184" s="13" t="s">
        <v>152</v>
      </c>
      <c r="E184" s="12" t="s">
        <v>146</v>
      </c>
    </row>
    <row r="185" spans="2:5">
      <c r="B185" s="9" t="s">
        <v>131</v>
      </c>
      <c r="C185" s="10" t="str">
        <f t="array" ref="C185">HYPERLINK("#2008年度以前の試験結果一覧!D"&amp;MATCH("*キング*"&amp;1,'2008年度以前の試験結果一覧'!D:D&amp;'2008年度以前の試験結果一覧'!F:F,0),"レーマー・キング")</f>
        <v>レーマー・キング</v>
      </c>
      <c r="D185" s="13" t="s">
        <v>152</v>
      </c>
      <c r="E185" s="12" t="s">
        <v>146</v>
      </c>
    </row>
    <row r="186" spans="2:5">
      <c r="B186" s="9" t="s">
        <v>131</v>
      </c>
      <c r="C186" s="10" t="str">
        <f>HYPERLINK("#2008年度以前の試験結果一覧!D"&amp;MATCH("*キングＴＳプラス*",'2008年度以前の試験結果一覧'!D:D,0),"レーマー・キングTSプラス")</f>
        <v>レーマー・キングTSプラス</v>
      </c>
      <c r="D186" s="13" t="s">
        <v>152</v>
      </c>
      <c r="E186" s="12" t="s">
        <v>146</v>
      </c>
    </row>
    <row r="187" spans="2:5">
      <c r="B187" s="9" t="s">
        <v>155</v>
      </c>
      <c r="C187" s="10" t="str">
        <f t="array" ref="C187">HYPERLINK("#2008年度以前の試験結果一覧!D"&amp;MATCH("*ベビーセーフ*"&amp;1,'2008年度以前の試験結果一覧'!D:D&amp;'2008年度以前の試験結果一覧'!F:F,0),"レーマー・ベビーセーフ")</f>
        <v>レーマー・ベビーセーフ</v>
      </c>
      <c r="D187" s="13" t="s">
        <v>152</v>
      </c>
      <c r="E187" s="159" t="s">
        <v>39</v>
      </c>
    </row>
    <row r="188" spans="2:5">
      <c r="B188" s="9" t="s">
        <v>155</v>
      </c>
      <c r="C188" s="10" t="str">
        <f>HYPERLINK("#2008年度以前の試験結果一覧!D"&amp;MATCH("*ベビーセーフプラス*",'2008年度以前の試験結果一覧'!D:D,0),"レーマー・ベビーセーフプラス")</f>
        <v>レーマー・ベビーセーフプラス</v>
      </c>
      <c r="D188" s="13" t="s">
        <v>152</v>
      </c>
      <c r="E188" s="159" t="s">
        <v>39</v>
      </c>
    </row>
    <row r="189" spans="2:5">
      <c r="B189" s="9" t="s">
        <v>131</v>
      </c>
      <c r="C189" s="10" t="str">
        <f>HYPERLINK("#2009年度以降の試験結果一覧!D"&amp;MATCH("*ベビーセーフプレミアム*",'2009年度以降の試験結果一覧'!D:D,0),"レーマー・ベビーセーフプレミアム")</f>
        <v>レーマー・ベビーセーフプレミアム</v>
      </c>
      <c r="D189" s="13" t="s">
        <v>167</v>
      </c>
      <c r="E189" s="159" t="s">
        <v>39</v>
      </c>
    </row>
    <row r="190" spans="2:5">
      <c r="B190" s="9" t="s">
        <v>131</v>
      </c>
      <c r="C190" s="10" t="str">
        <f>HYPERLINK("#2008年度以前の試験結果一覧!D"&amp;MATCH("*ロード*",'2008年度以前の試験結果一覧'!D:D,0),"レーマー・ロード")</f>
        <v>レーマー・ロード</v>
      </c>
      <c r="D190" s="13" t="s">
        <v>152</v>
      </c>
      <c r="E190" s="12" t="s">
        <v>146</v>
      </c>
    </row>
    <row r="191" spans="2:5">
      <c r="B191" s="9" t="s">
        <v>157</v>
      </c>
      <c r="C191" s="10" t="str">
        <f>HYPERLINK("#2009年度以降の試験結果一覧!D"&amp;MATCH("J1 Duo [ISO-FIX固定]",'2009年度以降の試験結果一覧'!D:D,0),"RECARO J1 Duo [ISO-FIX固定]")</f>
        <v>RECARO J1 Duo [ISO-FIX固定]</v>
      </c>
      <c r="D191" s="13" t="s">
        <v>152</v>
      </c>
      <c r="E191" s="12" t="s">
        <v>146</v>
      </c>
    </row>
    <row r="192" spans="2:5">
      <c r="B192" s="9" t="s">
        <v>157</v>
      </c>
      <c r="C192" s="10" t="str">
        <f>HYPERLINK("#2009年度以降の試験結果一覧!D"&amp;MATCH("J1 Duo [ベルト固定]",'2009年度以降の試験結果一覧'!D:D,0),"RECARO J1 Duo [ベルト固定]")</f>
        <v>RECARO J1 Duo [ベルト固定]</v>
      </c>
      <c r="D192" s="13" t="s">
        <v>152</v>
      </c>
      <c r="E192" s="12" t="s">
        <v>146</v>
      </c>
    </row>
    <row r="193" spans="2:5">
      <c r="B193" s="9" t="s">
        <v>157</v>
      </c>
      <c r="C193" s="10" t="str">
        <f>HYPERLINK("#2008年度以前の試験結果一覧!D"&amp;MATCH("*ゼロプラス*",'2008年度以前の試験結果一覧'!D:D,0),"RECARO Start 0+")</f>
        <v>RECARO Start 0+</v>
      </c>
      <c r="D193" s="13" t="s">
        <v>152</v>
      </c>
      <c r="E193" s="19" t="s">
        <v>153</v>
      </c>
    </row>
    <row r="194" spans="2:5">
      <c r="B194" s="9" t="s">
        <v>157</v>
      </c>
      <c r="C194" s="10" t="str">
        <f>HYPERLINK("#2009年度以降の試験結果一覧!D"&amp;MATCH("Start J1*",'2009年度以降の試験結果一覧'!D:D,0),"RECARO Start J1")</f>
        <v>RECARO Start J1</v>
      </c>
      <c r="D194" s="13" t="s">
        <v>152</v>
      </c>
      <c r="E194" s="12" t="s">
        <v>146</v>
      </c>
    </row>
    <row r="195" spans="2:5">
      <c r="B195" s="9" t="s">
        <v>158</v>
      </c>
      <c r="C195" s="10" t="str">
        <f>HYPERLINK("#2008年度以前の試験結果一覧!D"&amp;MATCH("*Start R1*",'2008年度以前の試験結果一覧'!D:D,0),"RECARO Start R1")</f>
        <v>RECARO Start R1</v>
      </c>
      <c r="D195" s="13" t="s">
        <v>152</v>
      </c>
      <c r="E195" s="12" t="s">
        <v>146</v>
      </c>
    </row>
    <row r="196" spans="2:5">
      <c r="B196" s="9" t="s">
        <v>158</v>
      </c>
      <c r="C196" s="10" t="str">
        <f>HYPERLINK("#2008年度以前の試験結果一覧!D"&amp;MATCH("*Start α1*",'2008年度以前の試験結果一覧'!D:D,0),"RECARO Start α1")</f>
        <v>RECARO Start α1</v>
      </c>
      <c r="D196" s="13" t="s">
        <v>152</v>
      </c>
      <c r="E196" s="12" t="s">
        <v>146</v>
      </c>
    </row>
    <row r="197" spans="2:5">
      <c r="B197" s="9" t="s">
        <v>157</v>
      </c>
      <c r="C197" s="10" t="str">
        <f>HYPERLINK("#2009年度以降の試験結果一覧!D"&amp;MATCH("Young Sport*",'2009年度以降の試験結果一覧'!D:D,0),"RECARO Young Sport")</f>
        <v>RECARO Young Sport</v>
      </c>
      <c r="D197" s="13" t="s">
        <v>152</v>
      </c>
      <c r="E197" s="12" t="s">
        <v>146</v>
      </c>
    </row>
    <row r="198" spans="2:5"/>
    <row r="199" spans="2:5"/>
    <row r="200" spans="2:5"/>
  </sheetData>
  <autoFilter ref="B3:E197" xr:uid="{00000000-0009-0000-0000-000000000000}">
    <sortState xmlns:xlrd2="http://schemas.microsoft.com/office/spreadsheetml/2017/richdata2" ref="B4:E197">
      <sortCondition ref="B3:B195"/>
    </sortState>
  </autoFilter>
  <mergeCells count="1">
    <mergeCell ref="B1:E1"/>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115"/>
  <sheetViews>
    <sheetView showGridLines="0" view="pageBreakPreview" zoomScale="85" zoomScaleNormal="100" zoomScaleSheetLayoutView="85" workbookViewId="0">
      <pane xSplit="4" ySplit="7" topLeftCell="E8" activePane="bottomRight" state="frozen"/>
      <selection pane="topRight" activeCell="E1" sqref="E1"/>
      <selection pane="bottomLeft" activeCell="A7" sqref="A7"/>
      <selection pane="bottomRight" activeCell="J55" sqref="J55"/>
    </sheetView>
  </sheetViews>
  <sheetFormatPr defaultColWidth="0" defaultRowHeight="13.5" zeroHeight="1"/>
  <cols>
    <col min="1" max="1" width="8.375" customWidth="1"/>
    <col min="2" max="2" width="7.875" customWidth="1"/>
    <col min="3" max="3" width="6.625" customWidth="1"/>
    <col min="4" max="4" width="23.375" customWidth="1"/>
    <col min="5" max="5" width="6.125" style="2" customWidth="1"/>
    <col min="6" max="6" width="3.875" customWidth="1"/>
    <col min="7" max="7" width="5.5" customWidth="1"/>
    <col min="8" max="8" width="5.625" style="71" customWidth="1"/>
    <col min="9" max="9" width="5.5" style="79" bestFit="1" customWidth="1"/>
    <col min="10" max="10" width="5.625" style="79" customWidth="1"/>
    <col min="11" max="11" width="4.125" style="1" bestFit="1" customWidth="1"/>
    <col min="12" max="12" width="5.625" style="79" customWidth="1"/>
    <col min="13" max="13" width="4.125" style="1" bestFit="1" customWidth="1"/>
    <col min="14" max="14" width="6.875" style="1" bestFit="1" customWidth="1"/>
    <col min="15" max="15" width="5.625" customWidth="1"/>
    <col min="16" max="16" width="5.5" style="71" customWidth="1"/>
    <col min="17" max="17" width="5.625" style="79" customWidth="1"/>
    <col min="18" max="18" width="4.125" style="1" bestFit="1" customWidth="1"/>
    <col min="19" max="19" width="4.125" style="79" bestFit="1" customWidth="1"/>
    <col min="20" max="20" width="4.125" style="1" bestFit="1" customWidth="1"/>
    <col min="21" max="21" width="4.125" style="79" bestFit="1" customWidth="1"/>
    <col min="22" max="22" width="4.125" style="1" bestFit="1" customWidth="1"/>
    <col min="23" max="23" width="6.875" style="79" bestFit="1" customWidth="1"/>
    <col min="24" max="24" width="5.625" customWidth="1"/>
    <col min="25" max="25" width="5.625" style="71" customWidth="1"/>
    <col min="26" max="26" width="5.625" style="79" customWidth="1"/>
    <col min="27" max="27" width="4.125" style="1" bestFit="1" customWidth="1"/>
    <col min="28" max="28" width="5.125" style="79" bestFit="1" customWidth="1"/>
    <col min="29" max="29" width="4.125" style="1" bestFit="1" customWidth="1"/>
    <col min="30" max="30" width="6.875" style="79" bestFit="1" customWidth="1"/>
    <col min="31" max="31" width="4.125" style="1" bestFit="1" customWidth="1"/>
    <col min="32" max="32" width="6.875" style="79" bestFit="1" customWidth="1"/>
    <col min="33" max="33" width="5.625" customWidth="1"/>
    <col min="34" max="37" width="6.625" style="131" customWidth="1"/>
    <col min="38" max="38" width="6.625" style="3" customWidth="1"/>
    <col min="39" max="42" width="6.625" style="131" customWidth="1"/>
    <col min="43" max="43" width="6.625" style="3" customWidth="1"/>
    <col min="44" max="47" width="6.625" style="131" customWidth="1"/>
    <col min="48" max="48" width="6.625" style="3" customWidth="1"/>
    <col min="49" max="49" width="22.125" customWidth="1"/>
  </cols>
  <sheetData>
    <row r="1" spans="1:49" ht="18" customHeight="1" thickTop="1" thickBot="1">
      <c r="A1" s="344" t="str">
        <f>HYPERLINK("#'目次・索引'!B1","索引へ戻る")</f>
        <v>索引へ戻る</v>
      </c>
      <c r="B1" s="345"/>
      <c r="C1" s="346"/>
      <c r="D1" s="4" t="s">
        <v>124</v>
      </c>
      <c r="E1" s="4"/>
      <c r="F1" s="4"/>
      <c r="G1" s="4"/>
      <c r="H1" s="4"/>
      <c r="I1" s="4"/>
      <c r="J1" s="4"/>
      <c r="K1" s="4"/>
      <c r="L1" s="4"/>
      <c r="M1" s="4"/>
      <c r="N1" s="4"/>
      <c r="O1" s="4"/>
      <c r="P1" s="4"/>
      <c r="Q1" s="4"/>
      <c r="R1" s="15"/>
      <c r="S1" s="15"/>
      <c r="T1" s="4"/>
      <c r="U1" s="4"/>
      <c r="V1" s="4"/>
      <c r="W1" s="4"/>
      <c r="X1" s="4"/>
      <c r="Y1" s="4"/>
      <c r="Z1" s="4"/>
      <c r="AA1" s="4"/>
      <c r="AB1" s="4"/>
      <c r="AC1" s="4"/>
      <c r="AD1" s="4"/>
      <c r="AE1" s="4"/>
      <c r="AF1" s="4"/>
      <c r="AG1" s="4"/>
      <c r="AH1" s="4"/>
      <c r="AI1" s="4"/>
      <c r="AJ1" s="4"/>
      <c r="AK1" s="4"/>
      <c r="AM1" s="4"/>
      <c r="AN1" s="4"/>
      <c r="AO1" s="4"/>
      <c r="AP1" s="4"/>
      <c r="AR1" s="4"/>
      <c r="AS1" s="4"/>
      <c r="AT1" s="4"/>
      <c r="AU1" s="4"/>
    </row>
    <row r="2" spans="1:49" ht="9" customHeight="1" thickTop="1">
      <c r="H2"/>
      <c r="I2" s="1"/>
      <c r="J2" s="1"/>
      <c r="L2" s="1"/>
      <c r="P2"/>
      <c r="Q2" s="1"/>
      <c r="S2" s="1"/>
      <c r="U2" s="1"/>
      <c r="W2" s="1"/>
      <c r="Y2"/>
      <c r="Z2" s="1"/>
      <c r="AB2" s="1"/>
      <c r="AD2" s="1"/>
      <c r="AF2" s="1"/>
      <c r="AH2" s="3"/>
      <c r="AI2" s="3"/>
      <c r="AJ2" s="3"/>
      <c r="AK2" s="3"/>
      <c r="AM2" s="3"/>
      <c r="AN2" s="3"/>
      <c r="AO2" s="3"/>
      <c r="AP2" s="3"/>
      <c r="AR2" s="3"/>
      <c r="AS2" s="3"/>
      <c r="AT2" s="3"/>
      <c r="AU2" s="3"/>
    </row>
    <row r="3" spans="1:49" ht="15.95" customHeight="1">
      <c r="A3" t="s">
        <v>123</v>
      </c>
      <c r="H3"/>
      <c r="I3" s="1"/>
      <c r="J3" s="1"/>
      <c r="L3" s="1"/>
      <c r="P3"/>
      <c r="Q3" s="1"/>
      <c r="S3" s="1"/>
      <c r="U3" s="1"/>
      <c r="W3" s="1"/>
      <c r="Y3"/>
      <c r="Z3" s="1"/>
      <c r="AB3" s="1"/>
      <c r="AD3" s="1"/>
      <c r="AF3" s="1"/>
      <c r="AH3" s="3"/>
      <c r="AI3" s="3"/>
      <c r="AJ3" s="3"/>
      <c r="AK3" s="3"/>
      <c r="AM3" s="3"/>
      <c r="AN3" s="3"/>
      <c r="AO3" s="3"/>
      <c r="AP3" s="3"/>
      <c r="AR3" s="3"/>
      <c r="AS3" s="3"/>
      <c r="AT3" s="3"/>
      <c r="AU3" s="3"/>
    </row>
    <row r="4" spans="1:49" ht="16.350000000000001" customHeight="1" thickBot="1">
      <c r="D4" s="336" t="s">
        <v>544</v>
      </c>
      <c r="H4"/>
      <c r="I4" s="1"/>
      <c r="J4" s="1"/>
      <c r="L4" s="1"/>
      <c r="P4"/>
      <c r="Q4" s="1"/>
      <c r="S4" s="1"/>
      <c r="U4" s="1"/>
      <c r="W4" s="1"/>
      <c r="Y4"/>
      <c r="Z4" s="1"/>
      <c r="AB4" s="1"/>
      <c r="AD4" s="1"/>
      <c r="AF4" s="1"/>
      <c r="AH4" s="351" t="s">
        <v>341</v>
      </c>
      <c r="AI4" s="352"/>
      <c r="AJ4" s="352"/>
      <c r="AK4" s="352"/>
      <c r="AL4" s="352"/>
      <c r="AM4" s="352"/>
      <c r="AN4" s="352"/>
      <c r="AO4" s="352"/>
      <c r="AP4" s="352"/>
      <c r="AQ4" s="352"/>
      <c r="AR4" s="352"/>
      <c r="AS4" s="352"/>
      <c r="AT4" s="352"/>
      <c r="AU4" s="352"/>
      <c r="AV4" s="352"/>
      <c r="AW4" s="24"/>
    </row>
    <row r="5" spans="1:49" ht="30" customHeight="1">
      <c r="A5" s="380" t="s">
        <v>187</v>
      </c>
      <c r="B5" s="383" t="s">
        <v>144</v>
      </c>
      <c r="C5" s="386" t="s">
        <v>12</v>
      </c>
      <c r="D5" s="389" t="s">
        <v>320</v>
      </c>
      <c r="E5" s="389" t="s">
        <v>321</v>
      </c>
      <c r="F5" s="392" t="s">
        <v>322</v>
      </c>
      <c r="G5" s="353" t="s">
        <v>323</v>
      </c>
      <c r="H5" s="347" t="s">
        <v>324</v>
      </c>
      <c r="I5" s="348"/>
      <c r="J5" s="348"/>
      <c r="K5" s="348"/>
      <c r="L5" s="348"/>
      <c r="M5" s="348"/>
      <c r="N5" s="348"/>
      <c r="O5" s="348"/>
      <c r="P5" s="347" t="s">
        <v>325</v>
      </c>
      <c r="Q5" s="348"/>
      <c r="R5" s="348"/>
      <c r="S5" s="348"/>
      <c r="T5" s="348"/>
      <c r="U5" s="348"/>
      <c r="V5" s="348"/>
      <c r="W5" s="348"/>
      <c r="X5" s="348"/>
      <c r="Y5" s="347" t="s">
        <v>326</v>
      </c>
      <c r="Z5" s="348"/>
      <c r="AA5" s="348"/>
      <c r="AB5" s="348"/>
      <c r="AC5" s="348"/>
      <c r="AD5" s="348"/>
      <c r="AE5" s="348"/>
      <c r="AF5" s="348"/>
      <c r="AG5" s="349"/>
      <c r="AH5" s="350" t="s">
        <v>342</v>
      </c>
      <c r="AI5" s="350"/>
      <c r="AJ5" s="350"/>
      <c r="AK5" s="350"/>
      <c r="AL5" s="350"/>
      <c r="AM5" s="350" t="s">
        <v>343</v>
      </c>
      <c r="AN5" s="350"/>
      <c r="AO5" s="350"/>
      <c r="AP5" s="350"/>
      <c r="AQ5" s="350"/>
      <c r="AR5" s="350" t="s">
        <v>344</v>
      </c>
      <c r="AS5" s="350"/>
      <c r="AT5" s="350"/>
      <c r="AU5" s="350"/>
      <c r="AV5" s="350"/>
      <c r="AW5" s="368" t="s">
        <v>196</v>
      </c>
    </row>
    <row r="6" spans="1:49" ht="90" customHeight="1">
      <c r="A6" s="381"/>
      <c r="B6" s="384"/>
      <c r="C6" s="387"/>
      <c r="D6" s="390"/>
      <c r="E6" s="390"/>
      <c r="F6" s="393"/>
      <c r="G6" s="354"/>
      <c r="H6" s="356" t="s">
        <v>15</v>
      </c>
      <c r="I6" s="358" t="s">
        <v>188</v>
      </c>
      <c r="J6" s="377" t="s">
        <v>347</v>
      </c>
      <c r="K6" s="379" t="s">
        <v>13</v>
      </c>
      <c r="L6" s="361"/>
      <c r="M6" s="379" t="s">
        <v>495</v>
      </c>
      <c r="N6" s="361"/>
      <c r="O6" s="373" t="s">
        <v>189</v>
      </c>
      <c r="P6" s="356" t="s">
        <v>15</v>
      </c>
      <c r="Q6" s="375" t="s">
        <v>188</v>
      </c>
      <c r="R6" s="360" t="s">
        <v>327</v>
      </c>
      <c r="S6" s="361"/>
      <c r="T6" s="360" t="s">
        <v>334</v>
      </c>
      <c r="U6" s="361"/>
      <c r="V6" s="360" t="s">
        <v>495</v>
      </c>
      <c r="W6" s="361"/>
      <c r="X6" s="373" t="s">
        <v>189</v>
      </c>
      <c r="Y6" s="356" t="s">
        <v>15</v>
      </c>
      <c r="Z6" s="375" t="s">
        <v>188</v>
      </c>
      <c r="AA6" s="360" t="s">
        <v>13</v>
      </c>
      <c r="AB6" s="361"/>
      <c r="AC6" s="360" t="s">
        <v>496</v>
      </c>
      <c r="AD6" s="361"/>
      <c r="AE6" s="360" t="s">
        <v>495</v>
      </c>
      <c r="AF6" s="361"/>
      <c r="AG6" s="362" t="s">
        <v>189</v>
      </c>
      <c r="AH6" s="364" t="s">
        <v>232</v>
      </c>
      <c r="AI6" s="366" t="s">
        <v>233</v>
      </c>
      <c r="AJ6" s="366" t="s">
        <v>234</v>
      </c>
      <c r="AK6" s="366" t="s">
        <v>16</v>
      </c>
      <c r="AL6" s="371" t="s">
        <v>17</v>
      </c>
      <c r="AM6" s="364" t="s">
        <v>232</v>
      </c>
      <c r="AN6" s="366" t="s">
        <v>233</v>
      </c>
      <c r="AO6" s="366" t="s">
        <v>234</v>
      </c>
      <c r="AP6" s="366" t="s">
        <v>16</v>
      </c>
      <c r="AQ6" s="371" t="s">
        <v>17</v>
      </c>
      <c r="AR6" s="364" t="s">
        <v>232</v>
      </c>
      <c r="AS6" s="366" t="s">
        <v>233</v>
      </c>
      <c r="AT6" s="366" t="s">
        <v>234</v>
      </c>
      <c r="AU6" s="366" t="s">
        <v>16</v>
      </c>
      <c r="AV6" s="371" t="s">
        <v>17</v>
      </c>
      <c r="AW6" s="369"/>
    </row>
    <row r="7" spans="1:49" ht="14.25" thickBot="1">
      <c r="A7" s="382"/>
      <c r="B7" s="385"/>
      <c r="C7" s="388"/>
      <c r="D7" s="391"/>
      <c r="E7" s="391"/>
      <c r="F7" s="394"/>
      <c r="G7" s="355"/>
      <c r="H7" s="357"/>
      <c r="I7" s="359"/>
      <c r="J7" s="378"/>
      <c r="K7" s="88"/>
      <c r="L7" s="90"/>
      <c r="M7" s="89"/>
      <c r="N7" s="91"/>
      <c r="O7" s="374"/>
      <c r="P7" s="357"/>
      <c r="Q7" s="376"/>
      <c r="R7" s="89"/>
      <c r="S7" s="91"/>
      <c r="T7" s="89"/>
      <c r="U7" s="91"/>
      <c r="V7" s="89"/>
      <c r="W7" s="91"/>
      <c r="X7" s="374"/>
      <c r="Y7" s="357"/>
      <c r="Z7" s="376"/>
      <c r="AA7" s="88"/>
      <c r="AB7" s="90"/>
      <c r="AC7" s="89"/>
      <c r="AD7" s="91"/>
      <c r="AE7" s="89"/>
      <c r="AF7" s="91"/>
      <c r="AG7" s="363"/>
      <c r="AH7" s="365"/>
      <c r="AI7" s="367"/>
      <c r="AJ7" s="367"/>
      <c r="AK7" s="367"/>
      <c r="AL7" s="372"/>
      <c r="AM7" s="365"/>
      <c r="AN7" s="367"/>
      <c r="AO7" s="367"/>
      <c r="AP7" s="367"/>
      <c r="AQ7" s="372"/>
      <c r="AR7" s="365"/>
      <c r="AS7" s="367"/>
      <c r="AT7" s="367"/>
      <c r="AU7" s="367"/>
      <c r="AV7" s="372"/>
      <c r="AW7" s="370"/>
    </row>
    <row r="8" spans="1:49" ht="48" customHeight="1">
      <c r="A8" s="157" t="s">
        <v>39</v>
      </c>
      <c r="B8" s="25" t="s">
        <v>345</v>
      </c>
      <c r="C8" s="328" t="s">
        <v>552</v>
      </c>
      <c r="D8" s="36" t="s">
        <v>553</v>
      </c>
      <c r="E8" s="45" t="s">
        <v>244</v>
      </c>
      <c r="F8" s="56" t="s">
        <v>554</v>
      </c>
      <c r="G8" s="52" t="s">
        <v>181</v>
      </c>
      <c r="H8" s="62"/>
      <c r="I8" s="72"/>
      <c r="J8" s="72"/>
      <c r="K8" s="80"/>
      <c r="L8" s="84"/>
      <c r="M8" s="80"/>
      <c r="N8" s="84"/>
      <c r="O8" s="59"/>
      <c r="P8" s="66" t="s">
        <v>336</v>
      </c>
      <c r="Q8" s="74" t="s">
        <v>1</v>
      </c>
      <c r="R8" s="82" t="s">
        <v>1</v>
      </c>
      <c r="S8" s="87">
        <v>47</v>
      </c>
      <c r="T8" s="83" t="s">
        <v>1</v>
      </c>
      <c r="U8" s="41"/>
      <c r="V8" s="83" t="s">
        <v>1</v>
      </c>
      <c r="W8" s="87">
        <v>483.7</v>
      </c>
      <c r="X8" s="60" t="s">
        <v>7</v>
      </c>
      <c r="Y8" s="63"/>
      <c r="Z8" s="73"/>
      <c r="AA8" s="80"/>
      <c r="AB8" s="84"/>
      <c r="AC8" s="80"/>
      <c r="AD8" s="84"/>
      <c r="AE8" s="80"/>
      <c r="AF8" s="84"/>
      <c r="AG8" s="59"/>
      <c r="AH8" s="123"/>
      <c r="AI8" s="132"/>
      <c r="AJ8" s="132"/>
      <c r="AK8" s="132"/>
      <c r="AL8" s="115"/>
      <c r="AM8" s="124">
        <v>4</v>
      </c>
      <c r="AN8" s="133">
        <v>2</v>
      </c>
      <c r="AO8" s="133">
        <v>2</v>
      </c>
      <c r="AP8" s="133">
        <v>5</v>
      </c>
      <c r="AQ8" s="116">
        <v>2</v>
      </c>
      <c r="AR8" s="123"/>
      <c r="AS8" s="132"/>
      <c r="AT8" s="132"/>
      <c r="AU8" s="132"/>
      <c r="AV8" s="115"/>
      <c r="AW8" s="21" t="s">
        <v>346</v>
      </c>
    </row>
    <row r="9" spans="1:49" ht="48" customHeight="1">
      <c r="A9" s="157" t="s">
        <v>39</v>
      </c>
      <c r="B9" s="25" t="s">
        <v>345</v>
      </c>
      <c r="C9" s="328" t="s">
        <v>552</v>
      </c>
      <c r="D9" s="36" t="s">
        <v>555</v>
      </c>
      <c r="E9" s="45" t="s">
        <v>244</v>
      </c>
      <c r="F9" s="56" t="s">
        <v>554</v>
      </c>
      <c r="G9" s="52" t="s">
        <v>181</v>
      </c>
      <c r="H9" s="63"/>
      <c r="I9" s="73"/>
      <c r="J9" s="73"/>
      <c r="K9" s="81"/>
      <c r="L9" s="85"/>
      <c r="M9" s="81"/>
      <c r="N9" s="85"/>
      <c r="O9" s="59"/>
      <c r="P9" s="66" t="s">
        <v>336</v>
      </c>
      <c r="Q9" s="74" t="s">
        <v>1</v>
      </c>
      <c r="R9" s="82" t="s">
        <v>1</v>
      </c>
      <c r="S9" s="86">
        <v>40</v>
      </c>
      <c r="T9" s="82" t="s">
        <v>1</v>
      </c>
      <c r="U9" s="38"/>
      <c r="V9" s="82" t="s">
        <v>1</v>
      </c>
      <c r="W9" s="107">
        <v>403.9</v>
      </c>
      <c r="X9" s="60" t="s">
        <v>7</v>
      </c>
      <c r="Y9" s="63"/>
      <c r="Z9" s="73"/>
      <c r="AA9" s="81"/>
      <c r="AB9" s="85"/>
      <c r="AC9" s="81"/>
      <c r="AD9" s="85"/>
      <c r="AE9" s="81"/>
      <c r="AF9" s="114"/>
      <c r="AG9" s="59"/>
      <c r="AH9" s="123"/>
      <c r="AI9" s="132"/>
      <c r="AJ9" s="132"/>
      <c r="AK9" s="132"/>
      <c r="AL9" s="115"/>
      <c r="AM9" s="124">
        <v>4</v>
      </c>
      <c r="AN9" s="133">
        <v>3</v>
      </c>
      <c r="AO9" s="133">
        <v>2</v>
      </c>
      <c r="AP9" s="133">
        <v>3</v>
      </c>
      <c r="AQ9" s="116">
        <v>2</v>
      </c>
      <c r="AR9" s="123"/>
      <c r="AS9" s="132"/>
      <c r="AT9" s="132"/>
      <c r="AU9" s="132"/>
      <c r="AV9" s="115"/>
      <c r="AW9" s="22" t="s">
        <v>235</v>
      </c>
    </row>
    <row r="10" spans="1:49" ht="48" customHeight="1">
      <c r="A10" s="157" t="s">
        <v>39</v>
      </c>
      <c r="B10" s="25" t="s">
        <v>345</v>
      </c>
      <c r="C10" s="328" t="s">
        <v>185</v>
      </c>
      <c r="D10" s="36" t="s">
        <v>349</v>
      </c>
      <c r="E10" s="45" t="s">
        <v>244</v>
      </c>
      <c r="F10" s="56" t="s">
        <v>183</v>
      </c>
      <c r="G10" s="52" t="s">
        <v>335</v>
      </c>
      <c r="H10" s="62"/>
      <c r="I10" s="72"/>
      <c r="J10" s="72"/>
      <c r="K10" s="80"/>
      <c r="L10" s="84"/>
      <c r="M10" s="80"/>
      <c r="N10" s="84"/>
      <c r="O10" s="59"/>
      <c r="P10" s="66" t="s">
        <v>336</v>
      </c>
      <c r="Q10" s="74" t="s">
        <v>1</v>
      </c>
      <c r="R10" s="82" t="s">
        <v>1</v>
      </c>
      <c r="S10" s="87">
        <v>35</v>
      </c>
      <c r="T10" s="83" t="s">
        <v>1</v>
      </c>
      <c r="U10" s="41"/>
      <c r="V10" s="83" t="s">
        <v>1</v>
      </c>
      <c r="W10" s="87">
        <v>404.5</v>
      </c>
      <c r="X10" s="60" t="s">
        <v>7</v>
      </c>
      <c r="Y10" s="63"/>
      <c r="Z10" s="73"/>
      <c r="AA10" s="80"/>
      <c r="AB10" s="84"/>
      <c r="AC10" s="80"/>
      <c r="AD10" s="84"/>
      <c r="AE10" s="80"/>
      <c r="AF10" s="84"/>
      <c r="AG10" s="59"/>
      <c r="AH10" s="123"/>
      <c r="AI10" s="132"/>
      <c r="AJ10" s="132"/>
      <c r="AK10" s="132"/>
      <c r="AL10" s="115"/>
      <c r="AM10" s="124">
        <v>1</v>
      </c>
      <c r="AN10" s="133">
        <v>3</v>
      </c>
      <c r="AO10" s="133">
        <v>3</v>
      </c>
      <c r="AP10" s="133">
        <v>5</v>
      </c>
      <c r="AQ10" s="116">
        <v>2</v>
      </c>
      <c r="AR10" s="123"/>
      <c r="AS10" s="132"/>
      <c r="AT10" s="132"/>
      <c r="AU10" s="132"/>
      <c r="AV10" s="115"/>
      <c r="AW10" s="21"/>
    </row>
    <row r="11" spans="1:49" ht="48" customHeight="1">
      <c r="A11" s="157" t="s">
        <v>39</v>
      </c>
      <c r="B11" s="25" t="s">
        <v>345</v>
      </c>
      <c r="C11" s="328" t="s">
        <v>185</v>
      </c>
      <c r="D11" s="36" t="s">
        <v>350</v>
      </c>
      <c r="E11" s="45" t="s">
        <v>244</v>
      </c>
      <c r="F11" s="56" t="s">
        <v>183</v>
      </c>
      <c r="G11" s="52" t="s">
        <v>335</v>
      </c>
      <c r="H11" s="63"/>
      <c r="I11" s="73"/>
      <c r="J11" s="73"/>
      <c r="K11" s="81"/>
      <c r="L11" s="85"/>
      <c r="M11" s="81"/>
      <c r="N11" s="85"/>
      <c r="O11" s="59"/>
      <c r="P11" s="66" t="s">
        <v>336</v>
      </c>
      <c r="Q11" s="74" t="s">
        <v>1</v>
      </c>
      <c r="R11" s="82" t="s">
        <v>1</v>
      </c>
      <c r="S11" s="86">
        <v>33</v>
      </c>
      <c r="T11" s="82" t="s">
        <v>1</v>
      </c>
      <c r="U11" s="38"/>
      <c r="V11" s="82" t="s">
        <v>1</v>
      </c>
      <c r="W11" s="107">
        <v>466</v>
      </c>
      <c r="X11" s="60" t="s">
        <v>7</v>
      </c>
      <c r="Y11" s="63"/>
      <c r="Z11" s="73"/>
      <c r="AA11" s="81"/>
      <c r="AB11" s="85"/>
      <c r="AC11" s="81"/>
      <c r="AD11" s="85"/>
      <c r="AE11" s="81"/>
      <c r="AF11" s="114"/>
      <c r="AG11" s="59"/>
      <c r="AH11" s="123"/>
      <c r="AI11" s="132"/>
      <c r="AJ11" s="132"/>
      <c r="AK11" s="132"/>
      <c r="AL11" s="115"/>
      <c r="AM11" s="124">
        <v>1</v>
      </c>
      <c r="AN11" s="133">
        <v>3</v>
      </c>
      <c r="AO11" s="133">
        <v>3</v>
      </c>
      <c r="AP11" s="133">
        <v>3</v>
      </c>
      <c r="AQ11" s="116">
        <v>2</v>
      </c>
      <c r="AR11" s="123"/>
      <c r="AS11" s="132"/>
      <c r="AT11" s="132"/>
      <c r="AU11" s="132"/>
      <c r="AV11" s="115"/>
      <c r="AW11" s="22" t="s">
        <v>235</v>
      </c>
    </row>
    <row r="12" spans="1:49" ht="48" customHeight="1">
      <c r="A12" s="157" t="s">
        <v>39</v>
      </c>
      <c r="B12" s="30" t="s">
        <v>193</v>
      </c>
      <c r="C12" s="328" t="s">
        <v>103</v>
      </c>
      <c r="D12" s="38" t="s">
        <v>279</v>
      </c>
      <c r="E12" s="151" t="s">
        <v>244</v>
      </c>
      <c r="F12" s="56" t="s">
        <v>100</v>
      </c>
      <c r="G12" s="52" t="s">
        <v>335</v>
      </c>
      <c r="H12" s="63"/>
      <c r="I12" s="73"/>
      <c r="J12" s="73"/>
      <c r="K12" s="81"/>
      <c r="L12" s="85"/>
      <c r="M12" s="81"/>
      <c r="N12" s="85"/>
      <c r="O12" s="92"/>
      <c r="P12" s="66" t="s">
        <v>336</v>
      </c>
      <c r="Q12" s="74" t="s">
        <v>1</v>
      </c>
      <c r="R12" s="82" t="s">
        <v>1</v>
      </c>
      <c r="S12" s="86">
        <v>38</v>
      </c>
      <c r="T12" s="82" t="s">
        <v>1</v>
      </c>
      <c r="U12" s="38"/>
      <c r="V12" s="82" t="s">
        <v>1</v>
      </c>
      <c r="W12" s="86">
        <v>416.7</v>
      </c>
      <c r="X12" s="93" t="s">
        <v>24</v>
      </c>
      <c r="Y12" s="63"/>
      <c r="Z12" s="73"/>
      <c r="AA12" s="81"/>
      <c r="AB12" s="85"/>
      <c r="AC12" s="81"/>
      <c r="AD12" s="85"/>
      <c r="AE12" s="81"/>
      <c r="AF12" s="85"/>
      <c r="AG12" s="92"/>
      <c r="AH12" s="123"/>
      <c r="AI12" s="132"/>
      <c r="AJ12" s="132"/>
      <c r="AK12" s="132"/>
      <c r="AL12" s="115"/>
      <c r="AM12" s="124">
        <v>4</v>
      </c>
      <c r="AN12" s="133">
        <v>2</v>
      </c>
      <c r="AO12" s="133">
        <v>3</v>
      </c>
      <c r="AP12" s="133">
        <v>3</v>
      </c>
      <c r="AQ12" s="116">
        <v>2</v>
      </c>
      <c r="AR12" s="123"/>
      <c r="AS12" s="132"/>
      <c r="AT12" s="132"/>
      <c r="AU12" s="132"/>
      <c r="AV12" s="115"/>
      <c r="AW12" s="20"/>
    </row>
    <row r="13" spans="1:49" ht="48" customHeight="1">
      <c r="A13" s="158" t="s">
        <v>39</v>
      </c>
      <c r="B13" s="30" t="s">
        <v>193</v>
      </c>
      <c r="C13" s="328" t="s">
        <v>104</v>
      </c>
      <c r="D13" s="38" t="s">
        <v>280</v>
      </c>
      <c r="E13" s="47" t="s">
        <v>305</v>
      </c>
      <c r="F13" s="56" t="s">
        <v>100</v>
      </c>
      <c r="G13" s="52" t="s">
        <v>335</v>
      </c>
      <c r="H13" s="63"/>
      <c r="I13" s="73"/>
      <c r="J13" s="73"/>
      <c r="K13" s="81"/>
      <c r="L13" s="85"/>
      <c r="M13" s="81"/>
      <c r="N13" s="85"/>
      <c r="O13" s="92"/>
      <c r="P13" s="66" t="s">
        <v>336</v>
      </c>
      <c r="Q13" s="74" t="s">
        <v>1</v>
      </c>
      <c r="R13" s="82" t="s">
        <v>121</v>
      </c>
      <c r="S13" s="86">
        <v>31</v>
      </c>
      <c r="T13" s="82" t="s">
        <v>1</v>
      </c>
      <c r="U13" s="38"/>
      <c r="V13" s="82" t="s">
        <v>122</v>
      </c>
      <c r="W13" s="86">
        <v>379.1</v>
      </c>
      <c r="X13" s="93" t="s">
        <v>7</v>
      </c>
      <c r="Y13" s="62"/>
      <c r="Z13" s="73"/>
      <c r="AA13" s="81"/>
      <c r="AB13" s="85"/>
      <c r="AC13" s="81"/>
      <c r="AD13" s="85"/>
      <c r="AE13" s="81"/>
      <c r="AF13" s="85"/>
      <c r="AG13" s="92"/>
      <c r="AH13" s="123"/>
      <c r="AI13" s="132"/>
      <c r="AJ13" s="132"/>
      <c r="AK13" s="132"/>
      <c r="AL13" s="115"/>
      <c r="AM13" s="124">
        <v>1</v>
      </c>
      <c r="AN13" s="133">
        <v>4</v>
      </c>
      <c r="AO13" s="133">
        <v>4</v>
      </c>
      <c r="AP13" s="133">
        <v>3</v>
      </c>
      <c r="AQ13" s="116">
        <v>3</v>
      </c>
      <c r="AR13" s="123"/>
      <c r="AS13" s="132"/>
      <c r="AT13" s="132"/>
      <c r="AU13" s="132"/>
      <c r="AV13" s="115"/>
      <c r="AW13" s="20"/>
    </row>
    <row r="14" spans="1:49" ht="48" customHeight="1">
      <c r="A14" s="158" t="s">
        <v>39</v>
      </c>
      <c r="B14" s="30" t="s">
        <v>193</v>
      </c>
      <c r="C14" s="328" t="s">
        <v>40</v>
      </c>
      <c r="D14" s="37" t="s">
        <v>331</v>
      </c>
      <c r="E14" s="46" t="s">
        <v>315</v>
      </c>
      <c r="F14" s="56" t="s">
        <v>38</v>
      </c>
      <c r="G14" s="52" t="s">
        <v>335</v>
      </c>
      <c r="H14" s="63"/>
      <c r="I14" s="73"/>
      <c r="J14" s="73"/>
      <c r="K14" s="81"/>
      <c r="L14" s="85"/>
      <c r="M14" s="81"/>
      <c r="N14" s="85"/>
      <c r="O14" s="92"/>
      <c r="P14" s="66" t="s">
        <v>336</v>
      </c>
      <c r="Q14" s="74" t="s">
        <v>1</v>
      </c>
      <c r="R14" s="82" t="s">
        <v>122</v>
      </c>
      <c r="S14" s="86">
        <v>39</v>
      </c>
      <c r="T14" s="82" t="s">
        <v>122</v>
      </c>
      <c r="U14" s="38"/>
      <c r="V14" s="82" t="s">
        <v>122</v>
      </c>
      <c r="W14" s="86">
        <v>485.4</v>
      </c>
      <c r="X14" s="93" t="s">
        <v>24</v>
      </c>
      <c r="Y14" s="62"/>
      <c r="Z14" s="73"/>
      <c r="AA14" s="81"/>
      <c r="AB14" s="85"/>
      <c r="AC14" s="81"/>
      <c r="AD14" s="85"/>
      <c r="AE14" s="81"/>
      <c r="AF14" s="85"/>
      <c r="AG14" s="92"/>
      <c r="AH14" s="127"/>
      <c r="AI14" s="136"/>
      <c r="AJ14" s="136"/>
      <c r="AK14" s="136"/>
      <c r="AL14" s="119"/>
      <c r="AM14" s="129">
        <v>5</v>
      </c>
      <c r="AN14" s="138">
        <v>4.2</v>
      </c>
      <c r="AO14" s="138">
        <v>3</v>
      </c>
      <c r="AP14" s="138">
        <v>5</v>
      </c>
      <c r="AQ14" s="121">
        <v>4</v>
      </c>
      <c r="AR14" s="127"/>
      <c r="AS14" s="136"/>
      <c r="AT14" s="136"/>
      <c r="AU14" s="136"/>
      <c r="AV14" s="119"/>
      <c r="AW14" s="20"/>
    </row>
    <row r="15" spans="1:49" ht="48" customHeight="1">
      <c r="A15" s="157" t="s">
        <v>39</v>
      </c>
      <c r="B15" s="30" t="s">
        <v>193</v>
      </c>
      <c r="C15" s="328" t="s">
        <v>37</v>
      </c>
      <c r="D15" s="38" t="s">
        <v>281</v>
      </c>
      <c r="E15" s="47" t="s">
        <v>311</v>
      </c>
      <c r="F15" s="56" t="s">
        <v>38</v>
      </c>
      <c r="G15" s="52" t="s">
        <v>195</v>
      </c>
      <c r="H15" s="63"/>
      <c r="I15" s="73"/>
      <c r="J15" s="73"/>
      <c r="K15" s="81"/>
      <c r="L15" s="85"/>
      <c r="M15" s="81"/>
      <c r="N15" s="85"/>
      <c r="O15" s="92"/>
      <c r="P15" s="64" t="s">
        <v>337</v>
      </c>
      <c r="Q15" s="74" t="s">
        <v>1</v>
      </c>
      <c r="R15" s="82" t="s">
        <v>122</v>
      </c>
      <c r="S15" s="86">
        <v>43</v>
      </c>
      <c r="T15" s="82" t="s">
        <v>113</v>
      </c>
      <c r="U15" s="86">
        <v>44</v>
      </c>
      <c r="V15" s="82" t="s">
        <v>111</v>
      </c>
      <c r="W15" s="86">
        <v>461.3</v>
      </c>
      <c r="X15" s="93" t="s">
        <v>7</v>
      </c>
      <c r="Y15" s="63"/>
      <c r="Z15" s="73"/>
      <c r="AA15" s="81"/>
      <c r="AB15" s="85"/>
      <c r="AC15" s="81"/>
      <c r="AD15" s="85"/>
      <c r="AE15" s="81"/>
      <c r="AF15" s="85"/>
      <c r="AG15" s="92"/>
      <c r="AH15" s="127"/>
      <c r="AI15" s="136"/>
      <c r="AJ15" s="136"/>
      <c r="AK15" s="136"/>
      <c r="AL15" s="119"/>
      <c r="AM15" s="129">
        <v>1.8</v>
      </c>
      <c r="AN15" s="138">
        <v>2.5</v>
      </c>
      <c r="AO15" s="138">
        <v>3</v>
      </c>
      <c r="AP15" s="138">
        <v>5</v>
      </c>
      <c r="AQ15" s="121">
        <v>4.2</v>
      </c>
      <c r="AR15" s="127"/>
      <c r="AS15" s="136"/>
      <c r="AT15" s="136"/>
      <c r="AU15" s="136"/>
      <c r="AV15" s="119"/>
      <c r="AW15" s="20"/>
    </row>
    <row r="16" spans="1:49" ht="48" customHeight="1">
      <c r="A16" s="32" t="s">
        <v>191</v>
      </c>
      <c r="B16" s="26" t="s">
        <v>186</v>
      </c>
      <c r="C16" s="328" t="s">
        <v>76</v>
      </c>
      <c r="D16" s="37" t="s">
        <v>328</v>
      </c>
      <c r="E16" s="46" t="s">
        <v>298</v>
      </c>
      <c r="F16" s="56" t="s">
        <v>75</v>
      </c>
      <c r="G16" s="52" t="s">
        <v>335</v>
      </c>
      <c r="H16" s="63"/>
      <c r="I16" s="73"/>
      <c r="J16" s="73"/>
      <c r="K16" s="81"/>
      <c r="L16" s="85"/>
      <c r="M16" s="81"/>
      <c r="N16" s="85"/>
      <c r="O16" s="92"/>
      <c r="P16" s="66" t="s">
        <v>336</v>
      </c>
      <c r="Q16" s="74" t="s">
        <v>1</v>
      </c>
      <c r="R16" s="82" t="s">
        <v>1</v>
      </c>
      <c r="S16" s="86">
        <v>51</v>
      </c>
      <c r="T16" s="82" t="s">
        <v>111</v>
      </c>
      <c r="U16" s="38"/>
      <c r="V16" s="82" t="s">
        <v>111</v>
      </c>
      <c r="W16" s="86">
        <v>362.5</v>
      </c>
      <c r="X16" s="93" t="s">
        <v>7</v>
      </c>
      <c r="Y16" s="66" t="s">
        <v>336</v>
      </c>
      <c r="Z16" s="74" t="s">
        <v>1</v>
      </c>
      <c r="AA16" s="82" t="s">
        <v>1</v>
      </c>
      <c r="AB16" s="86">
        <v>485</v>
      </c>
      <c r="AC16" s="82" t="s">
        <v>1</v>
      </c>
      <c r="AD16" s="107">
        <v>525.6</v>
      </c>
      <c r="AE16" s="82" t="s">
        <v>1</v>
      </c>
      <c r="AF16" s="86">
        <v>341.4</v>
      </c>
      <c r="AG16" s="93" t="s">
        <v>7</v>
      </c>
      <c r="AH16" s="127"/>
      <c r="AI16" s="136"/>
      <c r="AJ16" s="136"/>
      <c r="AK16" s="136"/>
      <c r="AL16" s="119"/>
      <c r="AM16" s="129">
        <v>4.2</v>
      </c>
      <c r="AN16" s="138">
        <v>4.3</v>
      </c>
      <c r="AO16" s="138">
        <v>4.4000000000000004</v>
      </c>
      <c r="AP16" s="138">
        <v>3.3</v>
      </c>
      <c r="AQ16" s="121">
        <v>4.4000000000000004</v>
      </c>
      <c r="AR16" s="129">
        <v>4.2</v>
      </c>
      <c r="AS16" s="138">
        <v>4.3</v>
      </c>
      <c r="AT16" s="138">
        <v>4.4000000000000004</v>
      </c>
      <c r="AU16" s="138">
        <v>4</v>
      </c>
      <c r="AV16" s="121">
        <v>4.4000000000000004</v>
      </c>
      <c r="AW16" s="20"/>
    </row>
    <row r="17" spans="1:49" ht="48" customHeight="1">
      <c r="A17" s="32" t="s">
        <v>191</v>
      </c>
      <c r="B17" s="28" t="s">
        <v>193</v>
      </c>
      <c r="C17" s="328" t="s">
        <v>83</v>
      </c>
      <c r="D17" s="40" t="s">
        <v>264</v>
      </c>
      <c r="E17" s="46" t="s">
        <v>296</v>
      </c>
      <c r="F17" s="56" t="s">
        <v>75</v>
      </c>
      <c r="G17" s="52" t="s">
        <v>335</v>
      </c>
      <c r="H17" s="63"/>
      <c r="I17" s="73"/>
      <c r="J17" s="73"/>
      <c r="K17" s="81"/>
      <c r="L17" s="85"/>
      <c r="M17" s="81"/>
      <c r="N17" s="85"/>
      <c r="O17" s="92"/>
      <c r="P17" s="66" t="s">
        <v>336</v>
      </c>
      <c r="Q17" s="74" t="s">
        <v>1</v>
      </c>
      <c r="R17" s="82" t="s">
        <v>1</v>
      </c>
      <c r="S17" s="86">
        <v>54</v>
      </c>
      <c r="T17" s="82" t="s">
        <v>1</v>
      </c>
      <c r="U17" s="38"/>
      <c r="V17" s="82" t="s">
        <v>1</v>
      </c>
      <c r="W17" s="86">
        <v>406.3</v>
      </c>
      <c r="X17" s="93" t="s">
        <v>7</v>
      </c>
      <c r="Y17" s="66" t="s">
        <v>336</v>
      </c>
      <c r="Z17" s="74" t="s">
        <v>1</v>
      </c>
      <c r="AA17" s="82" t="s">
        <v>1</v>
      </c>
      <c r="AB17" s="86">
        <v>495</v>
      </c>
      <c r="AC17" s="82" t="s">
        <v>1</v>
      </c>
      <c r="AD17" s="86">
        <v>561.5</v>
      </c>
      <c r="AE17" s="82" t="s">
        <v>1</v>
      </c>
      <c r="AF17" s="86">
        <v>443.6</v>
      </c>
      <c r="AG17" s="93" t="s">
        <v>7</v>
      </c>
      <c r="AH17" s="127"/>
      <c r="AI17" s="136"/>
      <c r="AJ17" s="136"/>
      <c r="AK17" s="136"/>
      <c r="AL17" s="119"/>
      <c r="AM17" s="129">
        <v>4.3</v>
      </c>
      <c r="AN17" s="138">
        <v>4.5</v>
      </c>
      <c r="AO17" s="138">
        <v>4</v>
      </c>
      <c r="AP17" s="138">
        <v>5</v>
      </c>
      <c r="AQ17" s="121">
        <v>4.8</v>
      </c>
      <c r="AR17" s="129">
        <v>4.3</v>
      </c>
      <c r="AS17" s="138">
        <v>4.5</v>
      </c>
      <c r="AT17" s="138">
        <v>4</v>
      </c>
      <c r="AU17" s="138">
        <v>5</v>
      </c>
      <c r="AV17" s="121">
        <v>4.8</v>
      </c>
      <c r="AW17" s="20"/>
    </row>
    <row r="18" spans="1:49" ht="48" customHeight="1">
      <c r="A18" s="32" t="s">
        <v>191</v>
      </c>
      <c r="B18" s="28" t="s">
        <v>193</v>
      </c>
      <c r="C18" s="328" t="s">
        <v>82</v>
      </c>
      <c r="D18" s="40" t="s">
        <v>263</v>
      </c>
      <c r="E18" s="46" t="s">
        <v>299</v>
      </c>
      <c r="F18" s="56" t="s">
        <v>75</v>
      </c>
      <c r="G18" s="52" t="s">
        <v>335</v>
      </c>
      <c r="H18" s="63"/>
      <c r="I18" s="73"/>
      <c r="J18" s="73"/>
      <c r="K18" s="81"/>
      <c r="L18" s="85"/>
      <c r="M18" s="81"/>
      <c r="N18" s="85"/>
      <c r="O18" s="92"/>
      <c r="P18" s="66" t="s">
        <v>336</v>
      </c>
      <c r="Q18" s="74" t="s">
        <v>1</v>
      </c>
      <c r="R18" s="82" t="s">
        <v>1</v>
      </c>
      <c r="S18" s="86">
        <v>55</v>
      </c>
      <c r="T18" s="82" t="s">
        <v>1</v>
      </c>
      <c r="U18" s="38"/>
      <c r="V18" s="82" t="s">
        <v>1</v>
      </c>
      <c r="W18" s="86">
        <v>488.9</v>
      </c>
      <c r="X18" s="93" t="s">
        <v>7</v>
      </c>
      <c r="Y18" s="99" t="s">
        <v>336</v>
      </c>
      <c r="Z18" s="74" t="s">
        <v>1</v>
      </c>
      <c r="AA18" s="82" t="s">
        <v>1</v>
      </c>
      <c r="AB18" s="86">
        <v>524</v>
      </c>
      <c r="AC18" s="82" t="s">
        <v>1</v>
      </c>
      <c r="AD18" s="86">
        <v>586.29999999999995</v>
      </c>
      <c r="AE18" s="82" t="s">
        <v>1</v>
      </c>
      <c r="AF18" s="86">
        <v>470.7</v>
      </c>
      <c r="AG18" s="93" t="s">
        <v>7</v>
      </c>
      <c r="AH18" s="127"/>
      <c r="AI18" s="136"/>
      <c r="AJ18" s="136"/>
      <c r="AK18" s="136"/>
      <c r="AL18" s="119"/>
      <c r="AM18" s="129">
        <v>4.7</v>
      </c>
      <c r="AN18" s="138">
        <v>3.5</v>
      </c>
      <c r="AO18" s="138">
        <v>4.3</v>
      </c>
      <c r="AP18" s="138">
        <v>3.8</v>
      </c>
      <c r="AQ18" s="121">
        <v>4.8</v>
      </c>
      <c r="AR18" s="129">
        <v>4.7</v>
      </c>
      <c r="AS18" s="138">
        <v>3.5</v>
      </c>
      <c r="AT18" s="138">
        <v>4.3</v>
      </c>
      <c r="AU18" s="138">
        <v>3.3</v>
      </c>
      <c r="AV18" s="121">
        <v>4.8</v>
      </c>
      <c r="AW18" s="20"/>
    </row>
    <row r="19" spans="1:49" ht="48" customHeight="1">
      <c r="A19" s="32" t="s">
        <v>191</v>
      </c>
      <c r="B19" s="25" t="s">
        <v>345</v>
      </c>
      <c r="C19" s="328" t="s">
        <v>68</v>
      </c>
      <c r="D19" s="42" t="s">
        <v>355</v>
      </c>
      <c r="E19" s="50" t="s">
        <v>304</v>
      </c>
      <c r="F19" s="56" t="s">
        <v>67</v>
      </c>
      <c r="G19" s="52" t="s">
        <v>335</v>
      </c>
      <c r="H19" s="63"/>
      <c r="I19" s="73"/>
      <c r="J19" s="73"/>
      <c r="K19" s="81"/>
      <c r="L19" s="85"/>
      <c r="M19" s="81"/>
      <c r="N19" s="85"/>
      <c r="O19" s="92"/>
      <c r="P19" s="66" t="s">
        <v>336</v>
      </c>
      <c r="Q19" s="74" t="s">
        <v>1</v>
      </c>
      <c r="R19" s="82" t="s">
        <v>1</v>
      </c>
      <c r="S19" s="86">
        <v>46</v>
      </c>
      <c r="T19" s="82" t="s">
        <v>1</v>
      </c>
      <c r="U19" s="38"/>
      <c r="V19" s="82" t="s">
        <v>1</v>
      </c>
      <c r="W19" s="86">
        <v>416.6</v>
      </c>
      <c r="X19" s="93" t="s">
        <v>7</v>
      </c>
      <c r="Y19" s="66" t="s">
        <v>336</v>
      </c>
      <c r="Z19" s="74" t="s">
        <v>1</v>
      </c>
      <c r="AA19" s="82" t="s">
        <v>1</v>
      </c>
      <c r="AB19" s="86">
        <v>467</v>
      </c>
      <c r="AC19" s="82" t="s">
        <v>1</v>
      </c>
      <c r="AD19" s="86">
        <v>586.29999999999995</v>
      </c>
      <c r="AE19" s="82" t="s">
        <v>1</v>
      </c>
      <c r="AF19" s="86">
        <v>304.8</v>
      </c>
      <c r="AG19" s="93" t="s">
        <v>7</v>
      </c>
      <c r="AH19" s="123"/>
      <c r="AI19" s="132"/>
      <c r="AJ19" s="132"/>
      <c r="AK19" s="132"/>
      <c r="AL19" s="115"/>
      <c r="AM19" s="142" t="s">
        <v>237</v>
      </c>
      <c r="AN19" s="144" t="s">
        <v>237</v>
      </c>
      <c r="AO19" s="144" t="s">
        <v>237</v>
      </c>
      <c r="AP19" s="144" t="s">
        <v>237</v>
      </c>
      <c r="AQ19" s="140" t="s">
        <v>237</v>
      </c>
      <c r="AR19" s="142" t="s">
        <v>237</v>
      </c>
      <c r="AS19" s="144" t="s">
        <v>237</v>
      </c>
      <c r="AT19" s="144" t="s">
        <v>237</v>
      </c>
      <c r="AU19" s="144" t="s">
        <v>237</v>
      </c>
      <c r="AV19" s="140" t="s">
        <v>237</v>
      </c>
      <c r="AW19" s="23" t="s">
        <v>353</v>
      </c>
    </row>
    <row r="20" spans="1:49" ht="48" customHeight="1">
      <c r="A20" s="32" t="s">
        <v>191</v>
      </c>
      <c r="B20" s="28" t="s">
        <v>193</v>
      </c>
      <c r="C20" s="328" t="s">
        <v>70</v>
      </c>
      <c r="D20" s="40" t="s">
        <v>266</v>
      </c>
      <c r="E20" s="46" t="s">
        <v>313</v>
      </c>
      <c r="F20" s="56" t="s">
        <v>67</v>
      </c>
      <c r="G20" s="52" t="s">
        <v>335</v>
      </c>
      <c r="H20" s="63"/>
      <c r="I20" s="73"/>
      <c r="J20" s="73"/>
      <c r="K20" s="81"/>
      <c r="L20" s="85"/>
      <c r="M20" s="81"/>
      <c r="N20" s="85"/>
      <c r="O20" s="92"/>
      <c r="P20" s="66" t="s">
        <v>336</v>
      </c>
      <c r="Q20" s="74" t="s">
        <v>74</v>
      </c>
      <c r="R20" s="82" t="s">
        <v>1</v>
      </c>
      <c r="S20" s="86">
        <v>47</v>
      </c>
      <c r="T20" s="82" t="s">
        <v>1</v>
      </c>
      <c r="U20" s="38"/>
      <c r="V20" s="82" t="s">
        <v>1</v>
      </c>
      <c r="W20" s="86">
        <v>408.3</v>
      </c>
      <c r="X20" s="93" t="s">
        <v>7</v>
      </c>
      <c r="Y20" s="66" t="s">
        <v>336</v>
      </c>
      <c r="Z20" s="74" t="s">
        <v>1</v>
      </c>
      <c r="AA20" s="82" t="s">
        <v>1</v>
      </c>
      <c r="AB20" s="86">
        <v>504</v>
      </c>
      <c r="AC20" s="82" t="s">
        <v>1</v>
      </c>
      <c r="AD20" s="86">
        <v>586.20000000000005</v>
      </c>
      <c r="AE20" s="82" t="s">
        <v>1</v>
      </c>
      <c r="AF20" s="86">
        <v>445.1</v>
      </c>
      <c r="AG20" s="93" t="s">
        <v>7</v>
      </c>
      <c r="AH20" s="127"/>
      <c r="AI20" s="136"/>
      <c r="AJ20" s="136"/>
      <c r="AK20" s="136"/>
      <c r="AL20" s="119"/>
      <c r="AM20" s="129">
        <v>3.7</v>
      </c>
      <c r="AN20" s="138">
        <v>4.3</v>
      </c>
      <c r="AO20" s="138">
        <v>4</v>
      </c>
      <c r="AP20" s="138">
        <v>4</v>
      </c>
      <c r="AQ20" s="121">
        <v>3.8</v>
      </c>
      <c r="AR20" s="129">
        <v>3.7</v>
      </c>
      <c r="AS20" s="138">
        <v>4.3</v>
      </c>
      <c r="AT20" s="138">
        <v>4</v>
      </c>
      <c r="AU20" s="138">
        <v>2.8</v>
      </c>
      <c r="AV20" s="121">
        <v>3.8</v>
      </c>
      <c r="AW20" s="20"/>
    </row>
    <row r="21" spans="1:49" ht="48" customHeight="1">
      <c r="A21" s="32" t="s">
        <v>191</v>
      </c>
      <c r="B21" s="26" t="s">
        <v>186</v>
      </c>
      <c r="C21" s="328" t="s">
        <v>47</v>
      </c>
      <c r="D21" s="38" t="s">
        <v>249</v>
      </c>
      <c r="E21" s="47" t="s">
        <v>296</v>
      </c>
      <c r="F21" s="56" t="s">
        <v>56</v>
      </c>
      <c r="G21" s="52" t="s">
        <v>335</v>
      </c>
      <c r="H21" s="63"/>
      <c r="I21" s="73"/>
      <c r="J21" s="73"/>
      <c r="K21" s="81"/>
      <c r="L21" s="85"/>
      <c r="M21" s="81"/>
      <c r="N21" s="85"/>
      <c r="O21" s="59"/>
      <c r="P21" s="66" t="s">
        <v>336</v>
      </c>
      <c r="Q21" s="74" t="s">
        <v>1</v>
      </c>
      <c r="R21" s="82" t="s">
        <v>114</v>
      </c>
      <c r="S21" s="86">
        <v>39</v>
      </c>
      <c r="T21" s="82" t="s">
        <v>1</v>
      </c>
      <c r="U21" s="38"/>
      <c r="V21" s="82" t="s">
        <v>114</v>
      </c>
      <c r="W21" s="86">
        <v>486.4</v>
      </c>
      <c r="X21" s="60" t="s">
        <v>7</v>
      </c>
      <c r="Y21" s="66" t="s">
        <v>336</v>
      </c>
      <c r="Z21" s="74" t="s">
        <v>1</v>
      </c>
      <c r="AA21" s="82" t="s">
        <v>1</v>
      </c>
      <c r="AB21" s="86">
        <v>399</v>
      </c>
      <c r="AC21" s="82" t="s">
        <v>1</v>
      </c>
      <c r="AD21" s="107">
        <v>618.1</v>
      </c>
      <c r="AE21" s="82" t="s">
        <v>1</v>
      </c>
      <c r="AF21" s="86">
        <v>387.7</v>
      </c>
      <c r="AG21" s="60" t="s">
        <v>7</v>
      </c>
      <c r="AH21" s="127"/>
      <c r="AI21" s="136"/>
      <c r="AJ21" s="136"/>
      <c r="AK21" s="136"/>
      <c r="AL21" s="119"/>
      <c r="AM21" s="129">
        <v>3.8</v>
      </c>
      <c r="AN21" s="138">
        <v>4.5</v>
      </c>
      <c r="AO21" s="138">
        <v>4.7</v>
      </c>
      <c r="AP21" s="138">
        <v>4</v>
      </c>
      <c r="AQ21" s="121">
        <v>4.5999999999999996</v>
      </c>
      <c r="AR21" s="129">
        <v>3.8</v>
      </c>
      <c r="AS21" s="138">
        <v>4.5</v>
      </c>
      <c r="AT21" s="138">
        <v>4.7</v>
      </c>
      <c r="AU21" s="138">
        <v>5</v>
      </c>
      <c r="AV21" s="121">
        <v>4.5999999999999996</v>
      </c>
      <c r="AW21" s="20"/>
    </row>
    <row r="22" spans="1:49" ht="48" customHeight="1">
      <c r="A22" s="32" t="s">
        <v>191</v>
      </c>
      <c r="B22" s="28" t="s">
        <v>193</v>
      </c>
      <c r="C22" s="330" t="s">
        <v>58</v>
      </c>
      <c r="D22" s="38" t="s">
        <v>275</v>
      </c>
      <c r="E22" s="47" t="s">
        <v>296</v>
      </c>
      <c r="F22" s="56" t="s">
        <v>55</v>
      </c>
      <c r="G22" s="52" t="s">
        <v>335</v>
      </c>
      <c r="H22" s="67"/>
      <c r="I22" s="76"/>
      <c r="J22" s="73"/>
      <c r="K22" s="81"/>
      <c r="L22" s="85"/>
      <c r="M22" s="81"/>
      <c r="N22" s="85"/>
      <c r="O22" s="61"/>
      <c r="P22" s="66" t="s">
        <v>336</v>
      </c>
      <c r="Q22" s="103" t="s">
        <v>1</v>
      </c>
      <c r="R22" s="82" t="s">
        <v>1</v>
      </c>
      <c r="S22" s="86">
        <v>54</v>
      </c>
      <c r="T22" s="82" t="s">
        <v>1</v>
      </c>
      <c r="U22" s="38"/>
      <c r="V22" s="82" t="s">
        <v>111</v>
      </c>
      <c r="W22" s="86">
        <v>343.1</v>
      </c>
      <c r="X22" s="98" t="s">
        <v>7</v>
      </c>
      <c r="Y22" s="66" t="s">
        <v>336</v>
      </c>
      <c r="Z22" s="103" t="s">
        <v>1</v>
      </c>
      <c r="AA22" s="82" t="s">
        <v>1</v>
      </c>
      <c r="AB22" s="86">
        <v>516</v>
      </c>
      <c r="AC22" s="82" t="s">
        <v>1</v>
      </c>
      <c r="AD22" s="86">
        <v>523.1</v>
      </c>
      <c r="AE22" s="82" t="s">
        <v>1</v>
      </c>
      <c r="AF22" s="110">
        <v>449</v>
      </c>
      <c r="AG22" s="98" t="s">
        <v>7</v>
      </c>
      <c r="AH22" s="127"/>
      <c r="AI22" s="136"/>
      <c r="AJ22" s="136"/>
      <c r="AK22" s="136"/>
      <c r="AL22" s="119"/>
      <c r="AM22" s="129">
        <v>3.7</v>
      </c>
      <c r="AN22" s="138">
        <v>4.2</v>
      </c>
      <c r="AO22" s="138">
        <v>4</v>
      </c>
      <c r="AP22" s="138">
        <v>4</v>
      </c>
      <c r="AQ22" s="121">
        <v>3.8</v>
      </c>
      <c r="AR22" s="129">
        <v>3.7</v>
      </c>
      <c r="AS22" s="138">
        <v>4.2</v>
      </c>
      <c r="AT22" s="138">
        <v>4</v>
      </c>
      <c r="AU22" s="138">
        <v>3.5</v>
      </c>
      <c r="AV22" s="121">
        <v>3.8</v>
      </c>
      <c r="AW22" s="20"/>
    </row>
    <row r="23" spans="1:49" ht="48" customHeight="1">
      <c r="A23" s="32" t="s">
        <v>191</v>
      </c>
      <c r="B23" s="29" t="s">
        <v>186</v>
      </c>
      <c r="C23" s="338" t="s">
        <v>575</v>
      </c>
      <c r="D23" s="339" t="s">
        <v>585</v>
      </c>
      <c r="E23" s="47" t="s">
        <v>577</v>
      </c>
      <c r="F23" s="56" t="s">
        <v>578</v>
      </c>
      <c r="G23" s="52" t="s">
        <v>579</v>
      </c>
      <c r="H23" s="67"/>
      <c r="I23" s="76"/>
      <c r="J23" s="73"/>
      <c r="K23" s="81"/>
      <c r="L23" s="85"/>
      <c r="M23" s="81"/>
      <c r="N23" s="85"/>
      <c r="O23" s="61"/>
      <c r="P23" s="66" t="s">
        <v>580</v>
      </c>
      <c r="Q23" s="103" t="s">
        <v>581</v>
      </c>
      <c r="R23" s="82" t="s">
        <v>1</v>
      </c>
      <c r="S23" s="86">
        <v>52</v>
      </c>
      <c r="T23" s="82" t="s">
        <v>1</v>
      </c>
      <c r="U23" s="38"/>
      <c r="V23" s="82" t="s">
        <v>1</v>
      </c>
      <c r="W23" s="86">
        <v>424.6</v>
      </c>
      <c r="X23" s="98" t="s">
        <v>7</v>
      </c>
      <c r="Y23" s="66" t="s">
        <v>582</v>
      </c>
      <c r="Z23" s="103" t="s">
        <v>1</v>
      </c>
      <c r="AA23" s="82" t="s">
        <v>1</v>
      </c>
      <c r="AB23" s="86">
        <v>489</v>
      </c>
      <c r="AC23" s="82" t="s">
        <v>583</v>
      </c>
      <c r="AD23" s="86">
        <v>666.4</v>
      </c>
      <c r="AE23" s="82" t="s">
        <v>1</v>
      </c>
      <c r="AF23" s="110">
        <v>393</v>
      </c>
      <c r="AG23" s="98" t="s">
        <v>584</v>
      </c>
      <c r="AH23" s="127"/>
      <c r="AI23" s="136"/>
      <c r="AJ23" s="136"/>
      <c r="AK23" s="136"/>
      <c r="AL23" s="119"/>
      <c r="AM23" s="124">
        <v>5</v>
      </c>
      <c r="AN23" s="133">
        <v>5</v>
      </c>
      <c r="AO23" s="133">
        <v>5</v>
      </c>
      <c r="AP23" s="133">
        <v>5</v>
      </c>
      <c r="AQ23" s="116">
        <v>4</v>
      </c>
      <c r="AR23" s="124">
        <v>5</v>
      </c>
      <c r="AS23" s="133">
        <v>5</v>
      </c>
      <c r="AT23" s="133">
        <v>4</v>
      </c>
      <c r="AU23" s="133">
        <v>5</v>
      </c>
      <c r="AV23" s="116">
        <v>4</v>
      </c>
      <c r="AW23" s="20"/>
    </row>
    <row r="24" spans="1:49" ht="48" customHeight="1">
      <c r="A24" s="32" t="s">
        <v>191</v>
      </c>
      <c r="B24" s="29" t="s">
        <v>186</v>
      </c>
      <c r="C24" s="338" t="s">
        <v>575</v>
      </c>
      <c r="D24" s="340" t="s">
        <v>576</v>
      </c>
      <c r="E24" s="47" t="s">
        <v>577</v>
      </c>
      <c r="F24" s="56" t="s">
        <v>578</v>
      </c>
      <c r="G24" s="52" t="s">
        <v>579</v>
      </c>
      <c r="H24" s="67"/>
      <c r="I24" s="76"/>
      <c r="J24" s="73"/>
      <c r="K24" s="81"/>
      <c r="L24" s="85"/>
      <c r="M24" s="81"/>
      <c r="N24" s="85"/>
      <c r="O24" s="61"/>
      <c r="P24" s="66" t="s">
        <v>580</v>
      </c>
      <c r="Q24" s="103" t="s">
        <v>581</v>
      </c>
      <c r="R24" s="82" t="s">
        <v>1</v>
      </c>
      <c r="S24" s="86">
        <v>54</v>
      </c>
      <c r="T24" s="82" t="s">
        <v>1</v>
      </c>
      <c r="U24" s="38"/>
      <c r="V24" s="82" t="s">
        <v>1</v>
      </c>
      <c r="W24" s="86">
        <v>401.5</v>
      </c>
      <c r="X24" s="98" t="s">
        <v>7</v>
      </c>
      <c r="Y24" s="66" t="s">
        <v>582</v>
      </c>
      <c r="Z24" s="103" t="s">
        <v>1</v>
      </c>
      <c r="AA24" s="82" t="s">
        <v>1</v>
      </c>
      <c r="AB24" s="86">
        <v>494</v>
      </c>
      <c r="AC24" s="82" t="s">
        <v>583</v>
      </c>
      <c r="AD24" s="86">
        <v>682.3</v>
      </c>
      <c r="AE24" s="82" t="s">
        <v>1</v>
      </c>
      <c r="AF24" s="110">
        <v>385</v>
      </c>
      <c r="AG24" s="98" t="s">
        <v>584</v>
      </c>
      <c r="AH24" s="127"/>
      <c r="AI24" s="136"/>
      <c r="AJ24" s="136"/>
      <c r="AK24" s="136"/>
      <c r="AL24" s="119"/>
      <c r="AM24" s="124">
        <v>5</v>
      </c>
      <c r="AN24" s="133">
        <v>5</v>
      </c>
      <c r="AO24" s="133">
        <v>5</v>
      </c>
      <c r="AP24" s="133">
        <v>5</v>
      </c>
      <c r="AQ24" s="116">
        <v>4</v>
      </c>
      <c r="AR24" s="124">
        <v>5</v>
      </c>
      <c r="AS24" s="133">
        <v>5</v>
      </c>
      <c r="AT24" s="133">
        <v>4</v>
      </c>
      <c r="AU24" s="133">
        <v>5</v>
      </c>
      <c r="AV24" s="116">
        <v>4</v>
      </c>
      <c r="AW24" s="20"/>
    </row>
    <row r="25" spans="1:49" ht="48" customHeight="1">
      <c r="A25" s="32" t="s">
        <v>191</v>
      </c>
      <c r="B25" s="29" t="s">
        <v>186</v>
      </c>
      <c r="C25" s="151" t="s">
        <v>525</v>
      </c>
      <c r="D25" s="341" t="s">
        <v>556</v>
      </c>
      <c r="E25" s="46" t="s">
        <v>241</v>
      </c>
      <c r="F25" s="56" t="s">
        <v>557</v>
      </c>
      <c r="G25" s="52" t="s">
        <v>558</v>
      </c>
      <c r="H25" s="67"/>
      <c r="I25" s="76"/>
      <c r="J25" s="73"/>
      <c r="K25" s="81"/>
      <c r="L25" s="85"/>
      <c r="M25" s="81"/>
      <c r="N25" s="85"/>
      <c r="O25" s="61"/>
      <c r="P25" s="66" t="s">
        <v>559</v>
      </c>
      <c r="Q25" s="103" t="s">
        <v>560</v>
      </c>
      <c r="R25" s="82" t="s">
        <v>1</v>
      </c>
      <c r="S25" s="86">
        <v>52</v>
      </c>
      <c r="T25" s="82" t="s">
        <v>1</v>
      </c>
      <c r="U25" s="38"/>
      <c r="V25" s="82" t="s">
        <v>1</v>
      </c>
      <c r="W25" s="86">
        <v>397.6</v>
      </c>
      <c r="X25" s="98" t="s">
        <v>7</v>
      </c>
      <c r="Y25" s="66" t="s">
        <v>566</v>
      </c>
      <c r="Z25" s="103" t="s">
        <v>1</v>
      </c>
      <c r="AA25" s="82" t="s">
        <v>1</v>
      </c>
      <c r="AB25" s="86">
        <v>491</v>
      </c>
      <c r="AC25" s="82" t="s">
        <v>561</v>
      </c>
      <c r="AD25" s="86">
        <v>642.29999999999995</v>
      </c>
      <c r="AE25" s="82" t="s">
        <v>1</v>
      </c>
      <c r="AF25" s="110">
        <v>407.6</v>
      </c>
      <c r="AG25" s="98" t="s">
        <v>562</v>
      </c>
      <c r="AH25" s="127"/>
      <c r="AI25" s="136"/>
      <c r="AJ25" s="136"/>
      <c r="AK25" s="136"/>
      <c r="AL25" s="119"/>
      <c r="AM25" s="124">
        <v>5</v>
      </c>
      <c r="AN25" s="133">
        <v>5</v>
      </c>
      <c r="AO25" s="133">
        <v>5</v>
      </c>
      <c r="AP25" s="133">
        <v>5</v>
      </c>
      <c r="AQ25" s="116">
        <v>4</v>
      </c>
      <c r="AR25" s="124">
        <v>5</v>
      </c>
      <c r="AS25" s="133">
        <v>5</v>
      </c>
      <c r="AT25" s="133">
        <v>4</v>
      </c>
      <c r="AU25" s="133">
        <v>5</v>
      </c>
      <c r="AV25" s="116">
        <v>4</v>
      </c>
      <c r="AW25" s="20"/>
    </row>
    <row r="26" spans="1:49" ht="48" customHeight="1">
      <c r="A26" s="32" t="s">
        <v>191</v>
      </c>
      <c r="B26" s="29" t="s">
        <v>186</v>
      </c>
      <c r="C26" s="329" t="s">
        <v>535</v>
      </c>
      <c r="D26" s="324" t="s">
        <v>534</v>
      </c>
      <c r="E26" s="46" t="s">
        <v>241</v>
      </c>
      <c r="F26" s="56" t="s">
        <v>533</v>
      </c>
      <c r="G26" s="52" t="s">
        <v>181</v>
      </c>
      <c r="H26" s="65" t="s">
        <v>536</v>
      </c>
      <c r="I26" s="75" t="s">
        <v>1</v>
      </c>
      <c r="J26" s="75" t="s">
        <v>1</v>
      </c>
      <c r="K26" s="83" t="s">
        <v>1</v>
      </c>
      <c r="L26" s="87">
        <v>524</v>
      </c>
      <c r="M26" s="83" t="s">
        <v>1</v>
      </c>
      <c r="N26" s="87">
        <v>436.8</v>
      </c>
      <c r="O26" s="95" t="s">
        <v>7</v>
      </c>
      <c r="P26" s="66" t="s">
        <v>536</v>
      </c>
      <c r="Q26" s="75" t="s">
        <v>1</v>
      </c>
      <c r="R26" s="83" t="s">
        <v>1</v>
      </c>
      <c r="S26" s="87">
        <v>47</v>
      </c>
      <c r="T26" s="83" t="s">
        <v>1</v>
      </c>
      <c r="U26" s="41"/>
      <c r="V26" s="83" t="s">
        <v>1</v>
      </c>
      <c r="W26" s="110">
        <v>400.8</v>
      </c>
      <c r="X26" s="95" t="s">
        <v>7</v>
      </c>
      <c r="Y26" s="64" t="s">
        <v>537</v>
      </c>
      <c r="Z26" s="75" t="s">
        <v>1</v>
      </c>
      <c r="AA26" s="83" t="s">
        <v>1</v>
      </c>
      <c r="AB26" s="87">
        <v>507</v>
      </c>
      <c r="AC26" s="83" t="s">
        <v>538</v>
      </c>
      <c r="AD26" s="110">
        <v>762.5</v>
      </c>
      <c r="AE26" s="83" t="s">
        <v>1</v>
      </c>
      <c r="AF26" s="110">
        <v>452.3</v>
      </c>
      <c r="AG26" s="95" t="s">
        <v>7</v>
      </c>
      <c r="AH26" s="126">
        <v>5</v>
      </c>
      <c r="AI26" s="135">
        <v>5</v>
      </c>
      <c r="AJ26" s="135">
        <v>5</v>
      </c>
      <c r="AK26" s="135">
        <v>5</v>
      </c>
      <c r="AL26" s="118">
        <v>4</v>
      </c>
      <c r="AM26" s="126">
        <v>5</v>
      </c>
      <c r="AN26" s="135">
        <v>5</v>
      </c>
      <c r="AO26" s="135">
        <v>4</v>
      </c>
      <c r="AP26" s="135">
        <v>5</v>
      </c>
      <c r="AQ26" s="118">
        <v>4</v>
      </c>
      <c r="AR26" s="126">
        <v>5</v>
      </c>
      <c r="AS26" s="135">
        <v>5</v>
      </c>
      <c r="AT26" s="135">
        <v>4</v>
      </c>
      <c r="AU26" s="135">
        <v>5</v>
      </c>
      <c r="AV26" s="118">
        <v>4</v>
      </c>
      <c r="AW26" s="22"/>
    </row>
    <row r="27" spans="1:49" ht="48" customHeight="1">
      <c r="A27" s="32" t="s">
        <v>191</v>
      </c>
      <c r="B27" s="26" t="s">
        <v>186</v>
      </c>
      <c r="C27" s="329" t="s">
        <v>539</v>
      </c>
      <c r="D27" s="37" t="s">
        <v>541</v>
      </c>
      <c r="E27" s="46" t="s">
        <v>241</v>
      </c>
      <c r="F27" s="56" t="s">
        <v>533</v>
      </c>
      <c r="G27" s="52" t="s">
        <v>181</v>
      </c>
      <c r="H27" s="63"/>
      <c r="I27" s="73"/>
      <c r="J27" s="73"/>
      <c r="K27" s="81"/>
      <c r="L27" s="85"/>
      <c r="M27" s="81"/>
      <c r="N27" s="85"/>
      <c r="O27" s="92"/>
      <c r="P27" s="66" t="s">
        <v>536</v>
      </c>
      <c r="Q27" s="74" t="s">
        <v>1</v>
      </c>
      <c r="R27" s="82" t="s">
        <v>1</v>
      </c>
      <c r="S27" s="86">
        <v>41</v>
      </c>
      <c r="T27" s="82" t="s">
        <v>1</v>
      </c>
      <c r="U27" s="38"/>
      <c r="V27" s="82" t="s">
        <v>1</v>
      </c>
      <c r="W27" s="86">
        <v>435.8</v>
      </c>
      <c r="X27" s="93" t="s">
        <v>7</v>
      </c>
      <c r="Y27" s="65" t="s">
        <v>537</v>
      </c>
      <c r="Z27" s="74" t="s">
        <v>1</v>
      </c>
      <c r="AA27" s="82" t="s">
        <v>1</v>
      </c>
      <c r="AB27" s="86">
        <v>484</v>
      </c>
      <c r="AC27" s="82" t="s">
        <v>538</v>
      </c>
      <c r="AD27" s="107">
        <v>665.1</v>
      </c>
      <c r="AE27" s="82" t="s">
        <v>1</v>
      </c>
      <c r="AF27" s="107">
        <v>384</v>
      </c>
      <c r="AG27" s="93" t="s">
        <v>7</v>
      </c>
      <c r="AH27" s="127"/>
      <c r="AI27" s="136"/>
      <c r="AJ27" s="136"/>
      <c r="AK27" s="136"/>
      <c r="AL27" s="119"/>
      <c r="AM27" s="124">
        <v>5</v>
      </c>
      <c r="AN27" s="133">
        <v>5</v>
      </c>
      <c r="AO27" s="133">
        <v>5</v>
      </c>
      <c r="AP27" s="133">
        <v>5</v>
      </c>
      <c r="AQ27" s="116">
        <v>4</v>
      </c>
      <c r="AR27" s="124">
        <v>5</v>
      </c>
      <c r="AS27" s="133">
        <v>5</v>
      </c>
      <c r="AT27" s="133">
        <v>4</v>
      </c>
      <c r="AU27" s="133">
        <v>5</v>
      </c>
      <c r="AV27" s="116">
        <v>4</v>
      </c>
      <c r="AW27" s="20"/>
    </row>
    <row r="28" spans="1:49" ht="48" customHeight="1">
      <c r="A28" s="32" t="s">
        <v>191</v>
      </c>
      <c r="B28" s="26" t="s">
        <v>186</v>
      </c>
      <c r="C28" s="328" t="s">
        <v>530</v>
      </c>
      <c r="D28" s="37" t="s">
        <v>529</v>
      </c>
      <c r="E28" s="46" t="s">
        <v>298</v>
      </c>
      <c r="F28" s="56" t="s">
        <v>524</v>
      </c>
      <c r="G28" s="52" t="s">
        <v>181</v>
      </c>
      <c r="H28" s="63"/>
      <c r="I28" s="73"/>
      <c r="J28" s="73"/>
      <c r="K28" s="81"/>
      <c r="L28" s="85"/>
      <c r="M28" s="81"/>
      <c r="N28" s="85"/>
      <c r="O28" s="92"/>
      <c r="P28" s="66" t="s">
        <v>336</v>
      </c>
      <c r="Q28" s="74" t="s">
        <v>1</v>
      </c>
      <c r="R28" s="82" t="s">
        <v>1</v>
      </c>
      <c r="S28" s="86">
        <v>39</v>
      </c>
      <c r="T28" s="82" t="s">
        <v>1</v>
      </c>
      <c r="U28" s="38"/>
      <c r="V28" s="82" t="s">
        <v>1</v>
      </c>
      <c r="W28" s="86">
        <v>488.3</v>
      </c>
      <c r="X28" s="93" t="s">
        <v>7</v>
      </c>
      <c r="Y28" s="65" t="s">
        <v>337</v>
      </c>
      <c r="Z28" s="74" t="s">
        <v>1</v>
      </c>
      <c r="AA28" s="82" t="s">
        <v>6</v>
      </c>
      <c r="AB28" s="86">
        <v>544</v>
      </c>
      <c r="AC28" s="82" t="s">
        <v>1</v>
      </c>
      <c r="AD28" s="107">
        <v>561.79999999999995</v>
      </c>
      <c r="AE28" s="82" t="s">
        <v>1</v>
      </c>
      <c r="AF28" s="86">
        <v>370.7</v>
      </c>
      <c r="AG28" s="93" t="s">
        <v>7</v>
      </c>
      <c r="AH28" s="127"/>
      <c r="AI28" s="136"/>
      <c r="AJ28" s="136"/>
      <c r="AK28" s="136"/>
      <c r="AL28" s="119"/>
      <c r="AM28" s="124">
        <v>4</v>
      </c>
      <c r="AN28" s="133">
        <v>2</v>
      </c>
      <c r="AO28" s="133">
        <v>5</v>
      </c>
      <c r="AP28" s="133">
        <v>4</v>
      </c>
      <c r="AQ28" s="116">
        <v>4</v>
      </c>
      <c r="AR28" s="124">
        <v>4</v>
      </c>
      <c r="AS28" s="133">
        <v>2</v>
      </c>
      <c r="AT28" s="133">
        <v>3</v>
      </c>
      <c r="AU28" s="133">
        <v>4</v>
      </c>
      <c r="AV28" s="116">
        <v>4</v>
      </c>
      <c r="AW28" s="20"/>
    </row>
    <row r="29" spans="1:49" ht="48" customHeight="1">
      <c r="A29" s="32" t="s">
        <v>191</v>
      </c>
      <c r="B29" s="26" t="s">
        <v>186</v>
      </c>
      <c r="C29" s="328" t="s">
        <v>525</v>
      </c>
      <c r="D29" s="37" t="s">
        <v>523</v>
      </c>
      <c r="E29" s="46" t="s">
        <v>241</v>
      </c>
      <c r="F29" s="56" t="s">
        <v>524</v>
      </c>
      <c r="G29" s="52" t="s">
        <v>181</v>
      </c>
      <c r="H29" s="63"/>
      <c r="I29" s="73"/>
      <c r="J29" s="73"/>
      <c r="K29" s="81"/>
      <c r="L29" s="85"/>
      <c r="M29" s="81"/>
      <c r="N29" s="85"/>
      <c r="O29" s="92"/>
      <c r="P29" s="66" t="s">
        <v>336</v>
      </c>
      <c r="Q29" s="74" t="s">
        <v>1</v>
      </c>
      <c r="R29" s="82" t="s">
        <v>1</v>
      </c>
      <c r="S29" s="86">
        <v>42</v>
      </c>
      <c r="T29" s="82" t="s">
        <v>1</v>
      </c>
      <c r="U29" s="38"/>
      <c r="V29" s="82" t="s">
        <v>1</v>
      </c>
      <c r="W29" s="107">
        <v>437.7</v>
      </c>
      <c r="X29" s="93" t="s">
        <v>7</v>
      </c>
      <c r="Y29" s="65" t="s">
        <v>337</v>
      </c>
      <c r="Z29" s="74" t="s">
        <v>1</v>
      </c>
      <c r="AA29" s="82" t="s">
        <v>1</v>
      </c>
      <c r="AB29" s="86">
        <v>494</v>
      </c>
      <c r="AC29" s="82" t="s">
        <v>6</v>
      </c>
      <c r="AD29" s="107">
        <v>662.2</v>
      </c>
      <c r="AE29" s="82" t="s">
        <v>1</v>
      </c>
      <c r="AF29" s="107">
        <v>412.5</v>
      </c>
      <c r="AG29" s="93" t="s">
        <v>7</v>
      </c>
      <c r="AH29" s="123"/>
      <c r="AI29" s="132"/>
      <c r="AJ29" s="132"/>
      <c r="AK29" s="132"/>
      <c r="AL29" s="115"/>
      <c r="AM29" s="124">
        <v>5</v>
      </c>
      <c r="AN29" s="133">
        <v>4</v>
      </c>
      <c r="AO29" s="133">
        <v>5</v>
      </c>
      <c r="AP29" s="133">
        <v>5</v>
      </c>
      <c r="AQ29" s="116">
        <v>4</v>
      </c>
      <c r="AR29" s="124">
        <v>5</v>
      </c>
      <c r="AS29" s="133">
        <v>4</v>
      </c>
      <c r="AT29" s="133">
        <v>4</v>
      </c>
      <c r="AU29" s="133">
        <v>5</v>
      </c>
      <c r="AV29" s="116">
        <v>4</v>
      </c>
      <c r="AW29" s="20"/>
    </row>
    <row r="30" spans="1:49" ht="48" customHeight="1">
      <c r="A30" s="32" t="s">
        <v>191</v>
      </c>
      <c r="B30" s="26" t="s">
        <v>186</v>
      </c>
      <c r="C30" s="328" t="s">
        <v>528</v>
      </c>
      <c r="D30" s="37" t="s">
        <v>527</v>
      </c>
      <c r="E30" s="46" t="s">
        <v>297</v>
      </c>
      <c r="F30" s="56" t="s">
        <v>524</v>
      </c>
      <c r="G30" s="52" t="s">
        <v>181</v>
      </c>
      <c r="H30" s="63"/>
      <c r="I30" s="73"/>
      <c r="J30" s="73"/>
      <c r="K30" s="81"/>
      <c r="L30" s="85"/>
      <c r="M30" s="81"/>
      <c r="N30" s="85"/>
      <c r="O30" s="92"/>
      <c r="P30" s="66" t="s">
        <v>336</v>
      </c>
      <c r="Q30" s="74" t="s">
        <v>1</v>
      </c>
      <c r="R30" s="82" t="s">
        <v>1</v>
      </c>
      <c r="S30" s="86">
        <v>46</v>
      </c>
      <c r="T30" s="82" t="s">
        <v>1</v>
      </c>
      <c r="U30" s="38"/>
      <c r="V30" s="82" t="s">
        <v>1</v>
      </c>
      <c r="W30" s="86">
        <v>424.4</v>
      </c>
      <c r="X30" s="93" t="s">
        <v>7</v>
      </c>
      <c r="Y30" s="64" t="s">
        <v>337</v>
      </c>
      <c r="Z30" s="74" t="s">
        <v>1</v>
      </c>
      <c r="AA30" s="82" t="s">
        <v>1</v>
      </c>
      <c r="AB30" s="86">
        <v>509</v>
      </c>
      <c r="AC30" s="82" t="s">
        <v>6</v>
      </c>
      <c r="AD30" s="107">
        <v>710.8</v>
      </c>
      <c r="AE30" s="82" t="s">
        <v>1</v>
      </c>
      <c r="AF30" s="86">
        <v>432.4</v>
      </c>
      <c r="AG30" s="95" t="s">
        <v>7</v>
      </c>
      <c r="AH30" s="123"/>
      <c r="AI30" s="132"/>
      <c r="AJ30" s="132"/>
      <c r="AK30" s="132"/>
      <c r="AL30" s="115"/>
      <c r="AM30" s="124">
        <v>5</v>
      </c>
      <c r="AN30" s="133">
        <v>5</v>
      </c>
      <c r="AO30" s="133">
        <v>5</v>
      </c>
      <c r="AP30" s="133">
        <v>5</v>
      </c>
      <c r="AQ30" s="116">
        <v>3</v>
      </c>
      <c r="AR30" s="124">
        <v>5</v>
      </c>
      <c r="AS30" s="133">
        <v>5</v>
      </c>
      <c r="AT30" s="133">
        <v>4</v>
      </c>
      <c r="AU30" s="133">
        <v>5</v>
      </c>
      <c r="AV30" s="116">
        <v>3</v>
      </c>
      <c r="AW30" s="20"/>
    </row>
    <row r="31" spans="1:49" ht="48" customHeight="1">
      <c r="A31" s="32" t="s">
        <v>191</v>
      </c>
      <c r="B31" s="29" t="s">
        <v>186</v>
      </c>
      <c r="C31" s="329" t="s">
        <v>526</v>
      </c>
      <c r="D31" s="324" t="s">
        <v>240</v>
      </c>
      <c r="E31" s="49" t="s">
        <v>241</v>
      </c>
      <c r="F31" s="56" t="s">
        <v>183</v>
      </c>
      <c r="G31" s="52" t="s">
        <v>181</v>
      </c>
      <c r="H31" s="62"/>
      <c r="I31" s="72"/>
      <c r="J31" s="72"/>
      <c r="K31" s="80"/>
      <c r="L31" s="84"/>
      <c r="M31" s="80"/>
      <c r="N31" s="84"/>
      <c r="O31" s="94"/>
      <c r="P31" s="66" t="s">
        <v>336</v>
      </c>
      <c r="Q31" s="75" t="s">
        <v>1</v>
      </c>
      <c r="R31" s="83" t="s">
        <v>1</v>
      </c>
      <c r="S31" s="87">
        <v>42</v>
      </c>
      <c r="T31" s="83" t="s">
        <v>1</v>
      </c>
      <c r="U31" s="41"/>
      <c r="V31" s="83" t="s">
        <v>1</v>
      </c>
      <c r="W31" s="110">
        <v>449.2</v>
      </c>
      <c r="X31" s="95" t="s">
        <v>7</v>
      </c>
      <c r="Y31" s="64" t="s">
        <v>337</v>
      </c>
      <c r="Z31" s="75" t="s">
        <v>1</v>
      </c>
      <c r="AA31" s="83" t="s">
        <v>1</v>
      </c>
      <c r="AB31" s="87">
        <v>454</v>
      </c>
      <c r="AC31" s="83" t="s">
        <v>6</v>
      </c>
      <c r="AD31" s="110">
        <v>716.1</v>
      </c>
      <c r="AE31" s="83" t="s">
        <v>1</v>
      </c>
      <c r="AF31" s="110">
        <v>410.8</v>
      </c>
      <c r="AG31" s="95" t="s">
        <v>7</v>
      </c>
      <c r="AH31" s="125"/>
      <c r="AI31" s="134"/>
      <c r="AJ31" s="134"/>
      <c r="AK31" s="134"/>
      <c r="AL31" s="117"/>
      <c r="AM31" s="126">
        <v>4</v>
      </c>
      <c r="AN31" s="135">
        <v>2</v>
      </c>
      <c r="AO31" s="135">
        <v>5</v>
      </c>
      <c r="AP31" s="135">
        <v>5</v>
      </c>
      <c r="AQ31" s="118">
        <v>4</v>
      </c>
      <c r="AR31" s="126">
        <v>4</v>
      </c>
      <c r="AS31" s="135">
        <v>2</v>
      </c>
      <c r="AT31" s="135">
        <v>4</v>
      </c>
      <c r="AU31" s="135">
        <v>5</v>
      </c>
      <c r="AV31" s="118">
        <v>4</v>
      </c>
      <c r="AW31" s="22"/>
    </row>
    <row r="32" spans="1:49" ht="48" customHeight="1">
      <c r="A32" s="32" t="s">
        <v>191</v>
      </c>
      <c r="B32" s="29" t="s">
        <v>186</v>
      </c>
      <c r="C32" s="329" t="s">
        <v>176</v>
      </c>
      <c r="D32" s="324" t="s">
        <v>521</v>
      </c>
      <c r="E32" s="49" t="s">
        <v>302</v>
      </c>
      <c r="F32" s="56" t="s">
        <v>178</v>
      </c>
      <c r="G32" s="52" t="s">
        <v>335</v>
      </c>
      <c r="H32" s="65" t="s">
        <v>337</v>
      </c>
      <c r="I32" s="75" t="s">
        <v>1</v>
      </c>
      <c r="J32" s="75" t="s">
        <v>1</v>
      </c>
      <c r="K32" s="83" t="s">
        <v>1</v>
      </c>
      <c r="L32" s="87">
        <v>557</v>
      </c>
      <c r="M32" s="83" t="s">
        <v>6</v>
      </c>
      <c r="N32" s="87">
        <v>504.2</v>
      </c>
      <c r="O32" s="95" t="s">
        <v>7</v>
      </c>
      <c r="P32" s="66" t="s">
        <v>336</v>
      </c>
      <c r="Q32" s="75" t="s">
        <v>1</v>
      </c>
      <c r="R32" s="83" t="s">
        <v>1</v>
      </c>
      <c r="S32" s="87">
        <v>40</v>
      </c>
      <c r="T32" s="83" t="s">
        <v>1</v>
      </c>
      <c r="U32" s="41"/>
      <c r="V32" s="83" t="s">
        <v>1</v>
      </c>
      <c r="W32" s="110">
        <v>381.2</v>
      </c>
      <c r="X32" s="95" t="s">
        <v>7</v>
      </c>
      <c r="Y32" s="64" t="s">
        <v>337</v>
      </c>
      <c r="Z32" s="75" t="s">
        <v>1</v>
      </c>
      <c r="AA32" s="83" t="s">
        <v>1</v>
      </c>
      <c r="AB32" s="87">
        <v>508</v>
      </c>
      <c r="AC32" s="83" t="s">
        <v>6</v>
      </c>
      <c r="AD32" s="110">
        <v>780</v>
      </c>
      <c r="AE32" s="83" t="s">
        <v>1</v>
      </c>
      <c r="AF32" s="110">
        <v>469.4</v>
      </c>
      <c r="AG32" s="95" t="s">
        <v>7</v>
      </c>
      <c r="AH32" s="126">
        <v>5</v>
      </c>
      <c r="AI32" s="135">
        <v>4</v>
      </c>
      <c r="AJ32" s="135">
        <v>4</v>
      </c>
      <c r="AK32" s="135">
        <v>5</v>
      </c>
      <c r="AL32" s="118">
        <v>4</v>
      </c>
      <c r="AM32" s="126">
        <v>5</v>
      </c>
      <c r="AN32" s="135">
        <v>4</v>
      </c>
      <c r="AO32" s="135">
        <v>4</v>
      </c>
      <c r="AP32" s="135">
        <v>5</v>
      </c>
      <c r="AQ32" s="118">
        <v>4</v>
      </c>
      <c r="AR32" s="126">
        <v>5</v>
      </c>
      <c r="AS32" s="135">
        <v>4</v>
      </c>
      <c r="AT32" s="135">
        <v>4</v>
      </c>
      <c r="AU32" s="135">
        <v>5</v>
      </c>
      <c r="AV32" s="118">
        <v>4</v>
      </c>
      <c r="AW32" s="22"/>
    </row>
    <row r="33" spans="1:49" ht="48" customHeight="1">
      <c r="A33" s="32" t="s">
        <v>191</v>
      </c>
      <c r="B33" s="28" t="s">
        <v>193</v>
      </c>
      <c r="C33" s="328" t="s">
        <v>86</v>
      </c>
      <c r="D33" s="40" t="s">
        <v>259</v>
      </c>
      <c r="E33" s="46" t="s">
        <v>299</v>
      </c>
      <c r="F33" s="56" t="s">
        <v>88</v>
      </c>
      <c r="G33" s="52" t="s">
        <v>335</v>
      </c>
      <c r="H33" s="63"/>
      <c r="I33" s="73"/>
      <c r="J33" s="73"/>
      <c r="K33" s="81"/>
      <c r="L33" s="85"/>
      <c r="M33" s="81"/>
      <c r="N33" s="85"/>
      <c r="O33" s="92"/>
      <c r="P33" s="66" t="s">
        <v>336</v>
      </c>
      <c r="Q33" s="74" t="s">
        <v>87</v>
      </c>
      <c r="R33" s="82" t="s">
        <v>1</v>
      </c>
      <c r="S33" s="86">
        <v>35</v>
      </c>
      <c r="T33" s="82" t="s">
        <v>1</v>
      </c>
      <c r="U33" s="38"/>
      <c r="V33" s="82" t="s">
        <v>1</v>
      </c>
      <c r="W33" s="86">
        <v>449.6</v>
      </c>
      <c r="X33" s="93" t="s">
        <v>7</v>
      </c>
      <c r="Y33" s="64" t="s">
        <v>337</v>
      </c>
      <c r="Z33" s="74" t="s">
        <v>1</v>
      </c>
      <c r="AA33" s="82" t="s">
        <v>1</v>
      </c>
      <c r="AB33" s="86">
        <v>523</v>
      </c>
      <c r="AC33" s="82" t="s">
        <v>6</v>
      </c>
      <c r="AD33" s="107">
        <v>779.2</v>
      </c>
      <c r="AE33" s="82" t="s">
        <v>1</v>
      </c>
      <c r="AF33" s="86">
        <v>430.6</v>
      </c>
      <c r="AG33" s="93" t="s">
        <v>7</v>
      </c>
      <c r="AH33" s="123"/>
      <c r="AI33" s="132"/>
      <c r="AJ33" s="132"/>
      <c r="AK33" s="132"/>
      <c r="AL33" s="115"/>
      <c r="AM33" s="124">
        <v>5</v>
      </c>
      <c r="AN33" s="133">
        <v>3</v>
      </c>
      <c r="AO33" s="133">
        <v>4</v>
      </c>
      <c r="AP33" s="133">
        <v>3</v>
      </c>
      <c r="AQ33" s="116">
        <v>3</v>
      </c>
      <c r="AR33" s="124">
        <v>5</v>
      </c>
      <c r="AS33" s="133">
        <v>3</v>
      </c>
      <c r="AT33" s="133">
        <v>4</v>
      </c>
      <c r="AU33" s="133">
        <v>3</v>
      </c>
      <c r="AV33" s="116">
        <v>3</v>
      </c>
      <c r="AW33" s="20"/>
    </row>
    <row r="34" spans="1:49" ht="48" customHeight="1">
      <c r="A34" s="32" t="s">
        <v>191</v>
      </c>
      <c r="B34" s="31" t="s">
        <v>193</v>
      </c>
      <c r="C34" s="329" t="s">
        <v>61</v>
      </c>
      <c r="D34" s="43" t="s">
        <v>268</v>
      </c>
      <c r="E34" s="49" t="s">
        <v>244</v>
      </c>
      <c r="F34" s="56" t="s">
        <v>56</v>
      </c>
      <c r="G34" s="52" t="s">
        <v>335</v>
      </c>
      <c r="H34" s="62"/>
      <c r="I34" s="72"/>
      <c r="J34" s="72"/>
      <c r="K34" s="80"/>
      <c r="L34" s="84"/>
      <c r="M34" s="80"/>
      <c r="N34" s="84"/>
      <c r="O34" s="94"/>
      <c r="P34" s="66" t="s">
        <v>336</v>
      </c>
      <c r="Q34" s="75" t="s">
        <v>1</v>
      </c>
      <c r="R34" s="83" t="s">
        <v>1</v>
      </c>
      <c r="S34" s="87">
        <v>37</v>
      </c>
      <c r="T34" s="83" t="s">
        <v>1</v>
      </c>
      <c r="U34" s="41"/>
      <c r="V34" s="83" t="s">
        <v>1</v>
      </c>
      <c r="W34" s="87">
        <v>454.3</v>
      </c>
      <c r="X34" s="95" t="s">
        <v>7</v>
      </c>
      <c r="Y34" s="64" t="s">
        <v>337</v>
      </c>
      <c r="Z34" s="75" t="s">
        <v>1</v>
      </c>
      <c r="AA34" s="83" t="s">
        <v>1</v>
      </c>
      <c r="AB34" s="87">
        <v>511</v>
      </c>
      <c r="AC34" s="83" t="s">
        <v>6</v>
      </c>
      <c r="AD34" s="87">
        <v>730.5</v>
      </c>
      <c r="AE34" s="83" t="s">
        <v>1</v>
      </c>
      <c r="AF34" s="87">
        <v>448.1</v>
      </c>
      <c r="AG34" s="95" t="s">
        <v>7</v>
      </c>
      <c r="AH34" s="128"/>
      <c r="AI34" s="137"/>
      <c r="AJ34" s="137"/>
      <c r="AK34" s="137"/>
      <c r="AL34" s="120"/>
      <c r="AM34" s="143">
        <v>3.2</v>
      </c>
      <c r="AN34" s="145">
        <v>2.7</v>
      </c>
      <c r="AO34" s="145">
        <v>3.3</v>
      </c>
      <c r="AP34" s="145">
        <v>1.5</v>
      </c>
      <c r="AQ34" s="141">
        <v>4.2</v>
      </c>
      <c r="AR34" s="143">
        <v>3.2</v>
      </c>
      <c r="AS34" s="145">
        <v>2.7</v>
      </c>
      <c r="AT34" s="145">
        <v>3.3</v>
      </c>
      <c r="AU34" s="145">
        <v>4.3</v>
      </c>
      <c r="AV34" s="141">
        <v>4.2</v>
      </c>
      <c r="AW34" s="22"/>
    </row>
    <row r="35" spans="1:49" ht="48" customHeight="1">
      <c r="A35" s="32" t="s">
        <v>191</v>
      </c>
      <c r="B35" s="28" t="s">
        <v>193</v>
      </c>
      <c r="C35" s="328" t="s">
        <v>62</v>
      </c>
      <c r="D35" s="40" t="s">
        <v>269</v>
      </c>
      <c r="E35" s="46" t="s">
        <v>298</v>
      </c>
      <c r="F35" s="56" t="s">
        <v>56</v>
      </c>
      <c r="G35" s="52" t="s">
        <v>335</v>
      </c>
      <c r="H35" s="63"/>
      <c r="I35" s="73"/>
      <c r="J35" s="73"/>
      <c r="K35" s="81"/>
      <c r="L35" s="85"/>
      <c r="M35" s="81"/>
      <c r="N35" s="85"/>
      <c r="O35" s="92"/>
      <c r="P35" s="66" t="s">
        <v>336</v>
      </c>
      <c r="Q35" s="74" t="s">
        <v>1</v>
      </c>
      <c r="R35" s="82" t="s">
        <v>1</v>
      </c>
      <c r="S35" s="86">
        <v>46</v>
      </c>
      <c r="T35" s="82" t="s">
        <v>1</v>
      </c>
      <c r="U35" s="38"/>
      <c r="V35" s="82" t="s">
        <v>1</v>
      </c>
      <c r="W35" s="86">
        <v>487.8</v>
      </c>
      <c r="X35" s="93" t="s">
        <v>7</v>
      </c>
      <c r="Y35" s="64" t="s">
        <v>337</v>
      </c>
      <c r="Z35" s="74" t="s">
        <v>1</v>
      </c>
      <c r="AA35" s="82" t="s">
        <v>1</v>
      </c>
      <c r="AB35" s="86">
        <v>510</v>
      </c>
      <c r="AC35" s="82" t="s">
        <v>6</v>
      </c>
      <c r="AD35" s="86">
        <v>730.7</v>
      </c>
      <c r="AE35" s="82" t="s">
        <v>1</v>
      </c>
      <c r="AF35" s="86">
        <v>491.4</v>
      </c>
      <c r="AG35" s="93" t="s">
        <v>7</v>
      </c>
      <c r="AH35" s="127"/>
      <c r="AI35" s="136"/>
      <c r="AJ35" s="136"/>
      <c r="AK35" s="136"/>
      <c r="AL35" s="119"/>
      <c r="AM35" s="129">
        <v>4.3</v>
      </c>
      <c r="AN35" s="138">
        <v>4.5</v>
      </c>
      <c r="AO35" s="138">
        <v>4</v>
      </c>
      <c r="AP35" s="138">
        <v>4</v>
      </c>
      <c r="AQ35" s="121">
        <v>4.4000000000000004</v>
      </c>
      <c r="AR35" s="129">
        <v>4.3</v>
      </c>
      <c r="AS35" s="138">
        <v>4.5</v>
      </c>
      <c r="AT35" s="138">
        <v>4</v>
      </c>
      <c r="AU35" s="138">
        <v>4.3</v>
      </c>
      <c r="AV35" s="121">
        <v>4.8</v>
      </c>
      <c r="AW35" s="20"/>
    </row>
    <row r="36" spans="1:49" ht="48" customHeight="1">
      <c r="A36" s="32" t="s">
        <v>191</v>
      </c>
      <c r="B36" s="28" t="s">
        <v>193</v>
      </c>
      <c r="C36" s="328" t="s">
        <v>48</v>
      </c>
      <c r="D36" s="40" t="s">
        <v>270</v>
      </c>
      <c r="E36" s="46" t="s">
        <v>304</v>
      </c>
      <c r="F36" s="56" t="s">
        <v>54</v>
      </c>
      <c r="G36" s="52" t="s">
        <v>335</v>
      </c>
      <c r="H36" s="64" t="s">
        <v>337</v>
      </c>
      <c r="I36" s="74" t="s">
        <v>1</v>
      </c>
      <c r="J36" s="74" t="s">
        <v>1</v>
      </c>
      <c r="K36" s="82" t="s">
        <v>1</v>
      </c>
      <c r="L36" s="86">
        <v>538</v>
      </c>
      <c r="M36" s="82" t="s">
        <v>6</v>
      </c>
      <c r="N36" s="86">
        <v>722.8</v>
      </c>
      <c r="O36" s="60" t="s">
        <v>7</v>
      </c>
      <c r="P36" s="66" t="s">
        <v>336</v>
      </c>
      <c r="Q36" s="74" t="s">
        <v>1</v>
      </c>
      <c r="R36" s="82" t="s">
        <v>1</v>
      </c>
      <c r="S36" s="86">
        <v>36</v>
      </c>
      <c r="T36" s="82" t="s">
        <v>1</v>
      </c>
      <c r="U36" s="38"/>
      <c r="V36" s="82" t="s">
        <v>1</v>
      </c>
      <c r="W36" s="108">
        <v>481</v>
      </c>
      <c r="X36" s="93" t="s">
        <v>7</v>
      </c>
      <c r="Y36" s="65" t="s">
        <v>337</v>
      </c>
      <c r="Z36" s="74" t="s">
        <v>1</v>
      </c>
      <c r="AA36" s="82" t="s">
        <v>1</v>
      </c>
      <c r="AB36" s="86">
        <v>516</v>
      </c>
      <c r="AC36" s="82" t="s">
        <v>6</v>
      </c>
      <c r="AD36" s="86">
        <v>727.6</v>
      </c>
      <c r="AE36" s="82" t="s">
        <v>1</v>
      </c>
      <c r="AF36" s="86">
        <v>512.9</v>
      </c>
      <c r="AG36" s="60" t="s">
        <v>7</v>
      </c>
      <c r="AH36" s="129">
        <v>3.7</v>
      </c>
      <c r="AI36" s="138">
        <v>2.5</v>
      </c>
      <c r="AJ36" s="138">
        <v>2.6</v>
      </c>
      <c r="AK36" s="138">
        <v>4.3</v>
      </c>
      <c r="AL36" s="121">
        <v>4.2</v>
      </c>
      <c r="AM36" s="129">
        <v>3.7</v>
      </c>
      <c r="AN36" s="138">
        <v>2.5</v>
      </c>
      <c r="AO36" s="138">
        <v>2.6</v>
      </c>
      <c r="AP36" s="138">
        <v>3.3</v>
      </c>
      <c r="AQ36" s="334">
        <v>3.8</v>
      </c>
      <c r="AR36" s="129">
        <v>3.7</v>
      </c>
      <c r="AS36" s="138">
        <v>2.5</v>
      </c>
      <c r="AT36" s="138">
        <v>2.6</v>
      </c>
      <c r="AU36" s="138">
        <v>4.3</v>
      </c>
      <c r="AV36" s="334">
        <v>3.8</v>
      </c>
      <c r="AW36" s="20"/>
    </row>
    <row r="37" spans="1:49" ht="48" customHeight="1">
      <c r="A37" s="32" t="s">
        <v>191</v>
      </c>
      <c r="B37" s="28" t="s">
        <v>193</v>
      </c>
      <c r="C37" s="328" t="s">
        <v>52</v>
      </c>
      <c r="D37" s="40" t="s">
        <v>273</v>
      </c>
      <c r="E37" s="46" t="s">
        <v>299</v>
      </c>
      <c r="F37" s="56" t="s">
        <v>54</v>
      </c>
      <c r="G37" s="52" t="s">
        <v>335</v>
      </c>
      <c r="H37" s="63"/>
      <c r="I37" s="73"/>
      <c r="J37" s="73"/>
      <c r="K37" s="81"/>
      <c r="L37" s="85"/>
      <c r="M37" s="81"/>
      <c r="N37" s="85"/>
      <c r="O37" s="59"/>
      <c r="P37" s="66" t="s">
        <v>336</v>
      </c>
      <c r="Q37" s="74" t="s">
        <v>51</v>
      </c>
      <c r="R37" s="82" t="s">
        <v>1</v>
      </c>
      <c r="S37" s="86">
        <v>45</v>
      </c>
      <c r="T37" s="82" t="s">
        <v>1</v>
      </c>
      <c r="U37" s="38"/>
      <c r="V37" s="82" t="s">
        <v>1</v>
      </c>
      <c r="W37" s="86">
        <v>473.1</v>
      </c>
      <c r="X37" s="60" t="s">
        <v>7</v>
      </c>
      <c r="Y37" s="65" t="s">
        <v>337</v>
      </c>
      <c r="Z37" s="74" t="s">
        <v>1</v>
      </c>
      <c r="AA37" s="82" t="s">
        <v>1</v>
      </c>
      <c r="AB37" s="86">
        <v>518</v>
      </c>
      <c r="AC37" s="82" t="s">
        <v>6</v>
      </c>
      <c r="AD37" s="86">
        <v>737.7</v>
      </c>
      <c r="AE37" s="82" t="s">
        <v>1</v>
      </c>
      <c r="AF37" s="86">
        <v>468.2</v>
      </c>
      <c r="AG37" s="60" t="s">
        <v>7</v>
      </c>
      <c r="AH37" s="127"/>
      <c r="AI37" s="136"/>
      <c r="AJ37" s="136"/>
      <c r="AK37" s="136"/>
      <c r="AL37" s="119"/>
      <c r="AM37" s="129">
        <v>4.2</v>
      </c>
      <c r="AN37" s="138">
        <v>2.8</v>
      </c>
      <c r="AO37" s="138">
        <v>4.3</v>
      </c>
      <c r="AP37" s="138">
        <v>4.3</v>
      </c>
      <c r="AQ37" s="121">
        <v>4</v>
      </c>
      <c r="AR37" s="129">
        <v>4.2</v>
      </c>
      <c r="AS37" s="138">
        <v>2.8</v>
      </c>
      <c r="AT37" s="138">
        <v>4.3</v>
      </c>
      <c r="AU37" s="138">
        <v>4.5</v>
      </c>
      <c r="AV37" s="121">
        <v>4</v>
      </c>
      <c r="AW37" s="20"/>
    </row>
    <row r="38" spans="1:49" ht="48" customHeight="1">
      <c r="A38" s="32" t="s">
        <v>191</v>
      </c>
      <c r="B38" s="28" t="s">
        <v>193</v>
      </c>
      <c r="C38" s="330" t="s">
        <v>42</v>
      </c>
      <c r="D38" s="38" t="s">
        <v>278</v>
      </c>
      <c r="E38" s="47" t="s">
        <v>299</v>
      </c>
      <c r="F38" s="56" t="s">
        <v>38</v>
      </c>
      <c r="G38" s="52" t="s">
        <v>335</v>
      </c>
      <c r="H38" s="67"/>
      <c r="I38" s="76"/>
      <c r="J38" s="73"/>
      <c r="K38" s="81"/>
      <c r="L38" s="85"/>
      <c r="M38" s="81"/>
      <c r="N38" s="85"/>
      <c r="O38" s="61"/>
      <c r="P38" s="66" t="s">
        <v>336</v>
      </c>
      <c r="Q38" s="103" t="s">
        <v>1</v>
      </c>
      <c r="R38" s="82" t="s">
        <v>122</v>
      </c>
      <c r="S38" s="86">
        <v>49</v>
      </c>
      <c r="T38" s="82" t="s">
        <v>1</v>
      </c>
      <c r="U38" s="38"/>
      <c r="V38" s="82" t="s">
        <v>1</v>
      </c>
      <c r="W38" s="86">
        <v>445.3</v>
      </c>
      <c r="X38" s="98" t="s">
        <v>7</v>
      </c>
      <c r="Y38" s="65" t="s">
        <v>337</v>
      </c>
      <c r="Z38" s="103" t="s">
        <v>1</v>
      </c>
      <c r="AA38" s="82" t="s">
        <v>1</v>
      </c>
      <c r="AB38" s="86">
        <v>509</v>
      </c>
      <c r="AC38" s="82" t="s">
        <v>6</v>
      </c>
      <c r="AD38" s="86">
        <v>675.3</v>
      </c>
      <c r="AE38" s="82" t="s">
        <v>1</v>
      </c>
      <c r="AF38" s="86">
        <v>495.4</v>
      </c>
      <c r="AG38" s="98" t="s">
        <v>7</v>
      </c>
      <c r="AH38" s="127"/>
      <c r="AI38" s="136"/>
      <c r="AJ38" s="136"/>
      <c r="AK38" s="136"/>
      <c r="AL38" s="119"/>
      <c r="AM38" s="129">
        <v>4.2</v>
      </c>
      <c r="AN38" s="138">
        <v>3.3</v>
      </c>
      <c r="AO38" s="138">
        <v>3.7</v>
      </c>
      <c r="AP38" s="138">
        <v>4.8</v>
      </c>
      <c r="AQ38" s="121">
        <v>4</v>
      </c>
      <c r="AR38" s="129">
        <v>4.2</v>
      </c>
      <c r="AS38" s="138">
        <v>3.3</v>
      </c>
      <c r="AT38" s="138">
        <v>3.7</v>
      </c>
      <c r="AU38" s="138">
        <v>5</v>
      </c>
      <c r="AV38" s="121">
        <v>4</v>
      </c>
      <c r="AW38" s="20"/>
    </row>
    <row r="39" spans="1:49" ht="48" customHeight="1">
      <c r="A39" s="32" t="s">
        <v>191</v>
      </c>
      <c r="B39" s="26" t="s">
        <v>186</v>
      </c>
      <c r="C39" s="328" t="s">
        <v>175</v>
      </c>
      <c r="D39" s="37" t="s">
        <v>242</v>
      </c>
      <c r="E39" s="46" t="s">
        <v>302</v>
      </c>
      <c r="F39" s="56" t="s">
        <v>178</v>
      </c>
      <c r="G39" s="52" t="s">
        <v>335</v>
      </c>
      <c r="H39" s="63"/>
      <c r="I39" s="73"/>
      <c r="J39" s="73"/>
      <c r="K39" s="81"/>
      <c r="L39" s="85"/>
      <c r="M39" s="81"/>
      <c r="N39" s="85"/>
      <c r="O39" s="92"/>
      <c r="P39" s="66" t="s">
        <v>336</v>
      </c>
      <c r="Q39" s="74" t="s">
        <v>1</v>
      </c>
      <c r="R39" s="82" t="s">
        <v>1</v>
      </c>
      <c r="S39" s="86">
        <v>49</v>
      </c>
      <c r="T39" s="82" t="s">
        <v>1</v>
      </c>
      <c r="U39" s="38"/>
      <c r="V39" s="82" t="s">
        <v>1</v>
      </c>
      <c r="W39" s="107">
        <v>459.2</v>
      </c>
      <c r="X39" s="93" t="s">
        <v>7</v>
      </c>
      <c r="Y39" s="66" t="s">
        <v>339</v>
      </c>
      <c r="Z39" s="74" t="s">
        <v>6</v>
      </c>
      <c r="AA39" s="82" t="s">
        <v>1</v>
      </c>
      <c r="AB39" s="86">
        <v>455</v>
      </c>
      <c r="AC39" s="82" t="s">
        <v>6</v>
      </c>
      <c r="AD39" s="107">
        <v>654</v>
      </c>
      <c r="AE39" s="82" t="s">
        <v>1</v>
      </c>
      <c r="AF39" s="107">
        <v>403.5</v>
      </c>
      <c r="AG39" s="93" t="s">
        <v>7</v>
      </c>
      <c r="AH39" s="123"/>
      <c r="AI39" s="132"/>
      <c r="AJ39" s="132"/>
      <c r="AK39" s="132"/>
      <c r="AL39" s="115"/>
      <c r="AM39" s="124">
        <v>4</v>
      </c>
      <c r="AN39" s="133">
        <v>4</v>
      </c>
      <c r="AO39" s="133">
        <v>4</v>
      </c>
      <c r="AP39" s="133">
        <v>5</v>
      </c>
      <c r="AQ39" s="116">
        <v>4</v>
      </c>
      <c r="AR39" s="124">
        <v>4</v>
      </c>
      <c r="AS39" s="133">
        <v>4</v>
      </c>
      <c r="AT39" s="133">
        <v>4</v>
      </c>
      <c r="AU39" s="133">
        <v>5</v>
      </c>
      <c r="AV39" s="116">
        <v>4</v>
      </c>
      <c r="AW39" s="20"/>
    </row>
    <row r="40" spans="1:49" ht="48" customHeight="1">
      <c r="A40" s="32" t="s">
        <v>191</v>
      </c>
      <c r="B40" s="28" t="s">
        <v>193</v>
      </c>
      <c r="C40" s="328" t="s">
        <v>107</v>
      </c>
      <c r="D40" s="40" t="s">
        <v>252</v>
      </c>
      <c r="E40" s="46" t="s">
        <v>306</v>
      </c>
      <c r="F40" s="56" t="s">
        <v>108</v>
      </c>
      <c r="G40" s="52" t="s">
        <v>335</v>
      </c>
      <c r="H40" s="63"/>
      <c r="I40" s="73"/>
      <c r="J40" s="73"/>
      <c r="K40" s="81"/>
      <c r="L40" s="85"/>
      <c r="M40" s="81"/>
      <c r="N40" s="85"/>
      <c r="O40" s="92"/>
      <c r="P40" s="66" t="s">
        <v>336</v>
      </c>
      <c r="Q40" s="74" t="s">
        <v>1</v>
      </c>
      <c r="R40" s="82" t="s">
        <v>1</v>
      </c>
      <c r="S40" s="86">
        <v>36</v>
      </c>
      <c r="T40" s="82" t="s">
        <v>1</v>
      </c>
      <c r="U40" s="38"/>
      <c r="V40" s="82" t="s">
        <v>1</v>
      </c>
      <c r="W40" s="108">
        <v>411.2</v>
      </c>
      <c r="X40" s="93" t="s">
        <v>7</v>
      </c>
      <c r="Y40" s="66" t="s">
        <v>339</v>
      </c>
      <c r="Z40" s="74" t="s">
        <v>1</v>
      </c>
      <c r="AA40" s="82" t="s">
        <v>6</v>
      </c>
      <c r="AB40" s="86">
        <v>576</v>
      </c>
      <c r="AC40" s="82" t="s">
        <v>6</v>
      </c>
      <c r="AD40" s="86">
        <v>657.5</v>
      </c>
      <c r="AE40" s="82" t="s">
        <v>1</v>
      </c>
      <c r="AF40" s="86">
        <v>410.4</v>
      </c>
      <c r="AG40" s="93" t="s">
        <v>7</v>
      </c>
      <c r="AH40" s="123"/>
      <c r="AI40" s="132"/>
      <c r="AJ40" s="132"/>
      <c r="AK40" s="132"/>
      <c r="AL40" s="115"/>
      <c r="AM40" s="124">
        <v>3</v>
      </c>
      <c r="AN40" s="133">
        <v>4</v>
      </c>
      <c r="AO40" s="133">
        <v>3</v>
      </c>
      <c r="AP40" s="133">
        <v>3</v>
      </c>
      <c r="AQ40" s="116">
        <v>3</v>
      </c>
      <c r="AR40" s="124">
        <v>3</v>
      </c>
      <c r="AS40" s="133">
        <v>4</v>
      </c>
      <c r="AT40" s="133">
        <v>3</v>
      </c>
      <c r="AU40" s="133">
        <v>3</v>
      </c>
      <c r="AV40" s="116">
        <v>3</v>
      </c>
      <c r="AW40" s="23"/>
    </row>
    <row r="41" spans="1:49" ht="48" customHeight="1">
      <c r="A41" s="32" t="s">
        <v>191</v>
      </c>
      <c r="B41" s="28" t="s">
        <v>193</v>
      </c>
      <c r="C41" s="328" t="s">
        <v>109</v>
      </c>
      <c r="D41" s="40" t="s">
        <v>253</v>
      </c>
      <c r="E41" s="46" t="s">
        <v>307</v>
      </c>
      <c r="F41" s="56" t="s">
        <v>108</v>
      </c>
      <c r="G41" s="52" t="s">
        <v>335</v>
      </c>
      <c r="H41" s="63"/>
      <c r="I41" s="73"/>
      <c r="J41" s="73"/>
      <c r="K41" s="81"/>
      <c r="L41" s="85"/>
      <c r="M41" s="81"/>
      <c r="N41" s="85"/>
      <c r="O41" s="92"/>
      <c r="P41" s="66" t="s">
        <v>336</v>
      </c>
      <c r="Q41" s="74" t="s">
        <v>1</v>
      </c>
      <c r="R41" s="82" t="s">
        <v>1</v>
      </c>
      <c r="S41" s="86">
        <v>46</v>
      </c>
      <c r="T41" s="82" t="s">
        <v>1</v>
      </c>
      <c r="U41" s="38"/>
      <c r="V41" s="82" t="s">
        <v>1</v>
      </c>
      <c r="W41" s="108">
        <v>347</v>
      </c>
      <c r="X41" s="93" t="s">
        <v>7</v>
      </c>
      <c r="Y41" s="99" t="s">
        <v>339</v>
      </c>
      <c r="Z41" s="74" t="s">
        <v>1</v>
      </c>
      <c r="AA41" s="82" t="s">
        <v>6</v>
      </c>
      <c r="AB41" s="86">
        <v>560</v>
      </c>
      <c r="AC41" s="82" t="s">
        <v>6</v>
      </c>
      <c r="AD41" s="86">
        <v>700.1</v>
      </c>
      <c r="AE41" s="82" t="s">
        <v>1</v>
      </c>
      <c r="AF41" s="107">
        <v>500</v>
      </c>
      <c r="AG41" s="93" t="s">
        <v>7</v>
      </c>
      <c r="AH41" s="123"/>
      <c r="AI41" s="132"/>
      <c r="AJ41" s="132"/>
      <c r="AK41" s="132"/>
      <c r="AL41" s="115"/>
      <c r="AM41" s="124">
        <v>5</v>
      </c>
      <c r="AN41" s="133">
        <v>4</v>
      </c>
      <c r="AO41" s="133">
        <v>3</v>
      </c>
      <c r="AP41" s="133">
        <v>3</v>
      </c>
      <c r="AQ41" s="116">
        <v>4</v>
      </c>
      <c r="AR41" s="124">
        <v>5</v>
      </c>
      <c r="AS41" s="133">
        <v>4</v>
      </c>
      <c r="AT41" s="133">
        <v>3</v>
      </c>
      <c r="AU41" s="133">
        <v>3</v>
      </c>
      <c r="AV41" s="116">
        <v>4</v>
      </c>
      <c r="AW41" s="20"/>
    </row>
    <row r="42" spans="1:49" ht="48" customHeight="1">
      <c r="A42" s="32" t="s">
        <v>191</v>
      </c>
      <c r="B42" s="28" t="s">
        <v>193</v>
      </c>
      <c r="C42" s="328" t="s">
        <v>102</v>
      </c>
      <c r="D42" s="40" t="s">
        <v>254</v>
      </c>
      <c r="E42" s="46" t="s">
        <v>308</v>
      </c>
      <c r="F42" s="56" t="s">
        <v>100</v>
      </c>
      <c r="G42" s="52" t="s">
        <v>335</v>
      </c>
      <c r="H42" s="63"/>
      <c r="I42" s="73"/>
      <c r="J42" s="73"/>
      <c r="K42" s="81"/>
      <c r="L42" s="85"/>
      <c r="M42" s="81"/>
      <c r="N42" s="85"/>
      <c r="O42" s="92"/>
      <c r="P42" s="66" t="s">
        <v>336</v>
      </c>
      <c r="Q42" s="74" t="s">
        <v>1</v>
      </c>
      <c r="R42" s="82" t="s">
        <v>1</v>
      </c>
      <c r="S42" s="86">
        <v>52</v>
      </c>
      <c r="T42" s="82" t="s">
        <v>1</v>
      </c>
      <c r="U42" s="38"/>
      <c r="V42" s="82" t="s">
        <v>1</v>
      </c>
      <c r="W42" s="108">
        <v>426</v>
      </c>
      <c r="X42" s="93" t="s">
        <v>7</v>
      </c>
      <c r="Y42" s="99" t="s">
        <v>339</v>
      </c>
      <c r="Z42" s="74" t="s">
        <v>6</v>
      </c>
      <c r="AA42" s="82" t="s">
        <v>6</v>
      </c>
      <c r="AB42" s="86">
        <v>540</v>
      </c>
      <c r="AC42" s="82" t="s">
        <v>6</v>
      </c>
      <c r="AD42" s="86">
        <v>728.9</v>
      </c>
      <c r="AE42" s="82" t="s">
        <v>1</v>
      </c>
      <c r="AF42" s="86">
        <v>503.5</v>
      </c>
      <c r="AG42" s="93" t="s">
        <v>7</v>
      </c>
      <c r="AH42" s="123"/>
      <c r="AI42" s="132"/>
      <c r="AJ42" s="132"/>
      <c r="AK42" s="132"/>
      <c r="AL42" s="115"/>
      <c r="AM42" s="124">
        <v>4</v>
      </c>
      <c r="AN42" s="133">
        <v>3</v>
      </c>
      <c r="AO42" s="133">
        <v>5</v>
      </c>
      <c r="AP42" s="133">
        <v>3</v>
      </c>
      <c r="AQ42" s="116">
        <v>3</v>
      </c>
      <c r="AR42" s="124">
        <v>4</v>
      </c>
      <c r="AS42" s="133">
        <v>3</v>
      </c>
      <c r="AT42" s="133">
        <v>4</v>
      </c>
      <c r="AU42" s="133">
        <v>3</v>
      </c>
      <c r="AV42" s="116">
        <v>3</v>
      </c>
      <c r="AW42" s="20"/>
    </row>
    <row r="43" spans="1:49" ht="48" customHeight="1">
      <c r="A43" s="32" t="s">
        <v>191</v>
      </c>
      <c r="B43" s="26" t="s">
        <v>186</v>
      </c>
      <c r="C43" s="328" t="s">
        <v>101</v>
      </c>
      <c r="D43" s="37" t="s">
        <v>520</v>
      </c>
      <c r="E43" s="46" t="s">
        <v>302</v>
      </c>
      <c r="F43" s="56" t="s">
        <v>100</v>
      </c>
      <c r="G43" s="52" t="s">
        <v>335</v>
      </c>
      <c r="H43" s="64" t="s">
        <v>337</v>
      </c>
      <c r="I43" s="74" t="s">
        <v>1</v>
      </c>
      <c r="J43" s="74" t="s">
        <v>1</v>
      </c>
      <c r="K43" s="82" t="s">
        <v>1</v>
      </c>
      <c r="L43" s="86">
        <v>503</v>
      </c>
      <c r="M43" s="82" t="s">
        <v>6</v>
      </c>
      <c r="N43" s="86">
        <v>492.3</v>
      </c>
      <c r="O43" s="93" t="s">
        <v>7</v>
      </c>
      <c r="P43" s="66" t="s">
        <v>336</v>
      </c>
      <c r="Q43" s="74" t="s">
        <v>1</v>
      </c>
      <c r="R43" s="82" t="s">
        <v>1</v>
      </c>
      <c r="S43" s="86">
        <v>52</v>
      </c>
      <c r="T43" s="82" t="s">
        <v>1</v>
      </c>
      <c r="U43" s="38"/>
      <c r="V43" s="82" t="s">
        <v>1</v>
      </c>
      <c r="W43" s="86">
        <v>415.7</v>
      </c>
      <c r="X43" s="60" t="s">
        <v>7</v>
      </c>
      <c r="Y43" s="99" t="s">
        <v>339</v>
      </c>
      <c r="Z43" s="74" t="s">
        <v>6</v>
      </c>
      <c r="AA43" s="82" t="s">
        <v>1</v>
      </c>
      <c r="AB43" s="86">
        <v>491</v>
      </c>
      <c r="AC43" s="82" t="s">
        <v>6</v>
      </c>
      <c r="AD43" s="107">
        <v>713</v>
      </c>
      <c r="AE43" s="82" t="s">
        <v>1</v>
      </c>
      <c r="AF43" s="107">
        <v>405</v>
      </c>
      <c r="AG43" s="93" t="s">
        <v>7</v>
      </c>
      <c r="AH43" s="124">
        <v>5</v>
      </c>
      <c r="AI43" s="133">
        <v>4</v>
      </c>
      <c r="AJ43" s="133">
        <v>5</v>
      </c>
      <c r="AK43" s="133">
        <v>5</v>
      </c>
      <c r="AL43" s="116">
        <v>4</v>
      </c>
      <c r="AM43" s="124">
        <v>5</v>
      </c>
      <c r="AN43" s="133">
        <v>4</v>
      </c>
      <c r="AO43" s="133">
        <v>5</v>
      </c>
      <c r="AP43" s="133">
        <v>5</v>
      </c>
      <c r="AQ43" s="116">
        <v>4</v>
      </c>
      <c r="AR43" s="124">
        <v>5</v>
      </c>
      <c r="AS43" s="133">
        <v>4</v>
      </c>
      <c r="AT43" s="133">
        <v>5</v>
      </c>
      <c r="AU43" s="133">
        <v>5</v>
      </c>
      <c r="AV43" s="116">
        <v>4</v>
      </c>
      <c r="AW43" s="20"/>
    </row>
    <row r="44" spans="1:49" ht="48" customHeight="1">
      <c r="A44" s="32" t="s">
        <v>191</v>
      </c>
      <c r="B44" s="28" t="s">
        <v>193</v>
      </c>
      <c r="C44" s="328" t="s">
        <v>98</v>
      </c>
      <c r="D44" s="40" t="s">
        <v>258</v>
      </c>
      <c r="E44" s="46" t="s">
        <v>312</v>
      </c>
      <c r="F44" s="56" t="s">
        <v>92</v>
      </c>
      <c r="G44" s="52" t="s">
        <v>335</v>
      </c>
      <c r="H44" s="63"/>
      <c r="I44" s="73"/>
      <c r="J44" s="73"/>
      <c r="K44" s="81"/>
      <c r="L44" s="85"/>
      <c r="M44" s="81"/>
      <c r="N44" s="85"/>
      <c r="O44" s="92"/>
      <c r="P44" s="66" t="s">
        <v>336</v>
      </c>
      <c r="Q44" s="74" t="s">
        <v>1</v>
      </c>
      <c r="R44" s="82" t="s">
        <v>1</v>
      </c>
      <c r="S44" s="86">
        <v>49</v>
      </c>
      <c r="T44" s="82" t="s">
        <v>1</v>
      </c>
      <c r="U44" s="38"/>
      <c r="V44" s="82" t="s">
        <v>1</v>
      </c>
      <c r="W44" s="107">
        <v>447</v>
      </c>
      <c r="X44" s="93" t="s">
        <v>7</v>
      </c>
      <c r="Y44" s="66" t="s">
        <v>339</v>
      </c>
      <c r="Z44" s="74" t="s">
        <v>1</v>
      </c>
      <c r="AA44" s="82" t="s">
        <v>6</v>
      </c>
      <c r="AB44" s="86">
        <v>580</v>
      </c>
      <c r="AC44" s="82" t="s">
        <v>6</v>
      </c>
      <c r="AD44" s="107">
        <v>729.9</v>
      </c>
      <c r="AE44" s="82" t="s">
        <v>1</v>
      </c>
      <c r="AF44" s="86">
        <v>403.6</v>
      </c>
      <c r="AG44" s="93" t="s">
        <v>7</v>
      </c>
      <c r="AH44" s="123"/>
      <c r="AI44" s="132"/>
      <c r="AJ44" s="132"/>
      <c r="AK44" s="132"/>
      <c r="AL44" s="115"/>
      <c r="AM44" s="124">
        <v>4</v>
      </c>
      <c r="AN44" s="133">
        <v>3</v>
      </c>
      <c r="AO44" s="133">
        <v>4</v>
      </c>
      <c r="AP44" s="133">
        <v>3</v>
      </c>
      <c r="AQ44" s="116">
        <v>2</v>
      </c>
      <c r="AR44" s="124">
        <v>4</v>
      </c>
      <c r="AS44" s="133">
        <v>3</v>
      </c>
      <c r="AT44" s="133">
        <v>4</v>
      </c>
      <c r="AU44" s="133">
        <v>3</v>
      </c>
      <c r="AV44" s="116">
        <v>2</v>
      </c>
      <c r="AW44" s="20"/>
    </row>
    <row r="45" spans="1:49" ht="48" customHeight="1">
      <c r="A45" s="32" t="s">
        <v>191</v>
      </c>
      <c r="B45" s="25" t="s">
        <v>345</v>
      </c>
      <c r="C45" s="328" t="s">
        <v>68</v>
      </c>
      <c r="D45" s="42" t="s">
        <v>356</v>
      </c>
      <c r="E45" s="50" t="s">
        <v>304</v>
      </c>
      <c r="F45" s="56" t="s">
        <v>67</v>
      </c>
      <c r="G45" s="52" t="s">
        <v>335</v>
      </c>
      <c r="H45" s="63"/>
      <c r="I45" s="73"/>
      <c r="J45" s="73"/>
      <c r="K45" s="81"/>
      <c r="L45" s="85"/>
      <c r="M45" s="81"/>
      <c r="N45" s="85"/>
      <c r="O45" s="59"/>
      <c r="P45" s="66" t="s">
        <v>336</v>
      </c>
      <c r="Q45" s="74" t="s">
        <v>1</v>
      </c>
      <c r="R45" s="82" t="s">
        <v>1</v>
      </c>
      <c r="S45" s="86">
        <v>45</v>
      </c>
      <c r="T45" s="82" t="s">
        <v>1</v>
      </c>
      <c r="U45" s="38"/>
      <c r="V45" s="82" t="s">
        <v>1</v>
      </c>
      <c r="W45" s="86">
        <v>471.3</v>
      </c>
      <c r="X45" s="60" t="s">
        <v>7</v>
      </c>
      <c r="Y45" s="99" t="s">
        <v>339</v>
      </c>
      <c r="Z45" s="74" t="s">
        <v>1</v>
      </c>
      <c r="AA45" s="82" t="s">
        <v>6</v>
      </c>
      <c r="AB45" s="86">
        <v>542</v>
      </c>
      <c r="AC45" s="82" t="s">
        <v>6</v>
      </c>
      <c r="AD45" s="86">
        <v>772.4</v>
      </c>
      <c r="AE45" s="82" t="s">
        <v>1</v>
      </c>
      <c r="AF45" s="86">
        <v>441.2</v>
      </c>
      <c r="AG45" s="60" t="s">
        <v>7</v>
      </c>
      <c r="AH45" s="127"/>
      <c r="AI45" s="136"/>
      <c r="AJ45" s="136"/>
      <c r="AK45" s="136"/>
      <c r="AL45" s="119"/>
      <c r="AM45" s="129">
        <v>2.5</v>
      </c>
      <c r="AN45" s="138">
        <v>2.8</v>
      </c>
      <c r="AO45" s="138">
        <v>3.7</v>
      </c>
      <c r="AP45" s="138">
        <v>3.8</v>
      </c>
      <c r="AQ45" s="121">
        <v>4.4000000000000004</v>
      </c>
      <c r="AR45" s="129">
        <v>2.5</v>
      </c>
      <c r="AS45" s="138">
        <v>2.8</v>
      </c>
      <c r="AT45" s="138">
        <v>3.7</v>
      </c>
      <c r="AU45" s="138">
        <v>3.8</v>
      </c>
      <c r="AV45" s="121">
        <v>4.4000000000000004</v>
      </c>
      <c r="AW45" s="23" t="s">
        <v>354</v>
      </c>
    </row>
    <row r="46" spans="1:49" ht="48" customHeight="1">
      <c r="A46" s="32" t="s">
        <v>191</v>
      </c>
      <c r="B46" s="28" t="s">
        <v>193</v>
      </c>
      <c r="C46" s="328" t="s">
        <v>69</v>
      </c>
      <c r="D46" s="40" t="s">
        <v>265</v>
      </c>
      <c r="E46" s="46" t="s">
        <v>304</v>
      </c>
      <c r="F46" s="56" t="s">
        <v>67</v>
      </c>
      <c r="G46" s="52" t="s">
        <v>335</v>
      </c>
      <c r="H46" s="63"/>
      <c r="I46" s="73"/>
      <c r="J46" s="73"/>
      <c r="K46" s="81"/>
      <c r="L46" s="85"/>
      <c r="M46" s="81"/>
      <c r="N46" s="85"/>
      <c r="O46" s="92"/>
      <c r="P46" s="66" t="s">
        <v>336</v>
      </c>
      <c r="Q46" s="74" t="s">
        <v>1</v>
      </c>
      <c r="R46" s="82" t="s">
        <v>1</v>
      </c>
      <c r="S46" s="86">
        <v>53</v>
      </c>
      <c r="T46" s="82" t="s">
        <v>1</v>
      </c>
      <c r="U46" s="38"/>
      <c r="V46" s="82" t="s">
        <v>1</v>
      </c>
      <c r="W46" s="86">
        <v>398.9</v>
      </c>
      <c r="X46" s="93" t="s">
        <v>7</v>
      </c>
      <c r="Y46" s="66" t="s">
        <v>339</v>
      </c>
      <c r="Z46" s="74" t="s">
        <v>6</v>
      </c>
      <c r="AA46" s="82" t="s">
        <v>6</v>
      </c>
      <c r="AB46" s="86">
        <v>569</v>
      </c>
      <c r="AC46" s="82" t="s">
        <v>6</v>
      </c>
      <c r="AD46" s="107">
        <v>770.4</v>
      </c>
      <c r="AE46" s="82" t="s">
        <v>1</v>
      </c>
      <c r="AF46" s="86">
        <v>480.5</v>
      </c>
      <c r="AG46" s="93" t="s">
        <v>7</v>
      </c>
      <c r="AH46" s="127"/>
      <c r="AI46" s="136"/>
      <c r="AJ46" s="136"/>
      <c r="AK46" s="136"/>
      <c r="AL46" s="119"/>
      <c r="AM46" s="129">
        <v>2.2000000000000002</v>
      </c>
      <c r="AN46" s="138">
        <v>2.7</v>
      </c>
      <c r="AO46" s="138">
        <v>3.7</v>
      </c>
      <c r="AP46" s="138">
        <v>4.3</v>
      </c>
      <c r="AQ46" s="121">
        <v>4.5999999999999996</v>
      </c>
      <c r="AR46" s="129">
        <v>2.2000000000000002</v>
      </c>
      <c r="AS46" s="138">
        <v>2.7</v>
      </c>
      <c r="AT46" s="138">
        <v>3.7</v>
      </c>
      <c r="AU46" s="138">
        <v>4</v>
      </c>
      <c r="AV46" s="121">
        <v>4.5999999999999996</v>
      </c>
      <c r="AW46" s="20"/>
    </row>
    <row r="47" spans="1:49" ht="48" customHeight="1">
      <c r="A47" s="32" t="s">
        <v>191</v>
      </c>
      <c r="B47" s="28" t="s">
        <v>193</v>
      </c>
      <c r="C47" s="328" t="s">
        <v>49</v>
      </c>
      <c r="D47" s="40" t="s">
        <v>271</v>
      </c>
      <c r="E47" s="46" t="s">
        <v>296</v>
      </c>
      <c r="F47" s="56" t="s">
        <v>54</v>
      </c>
      <c r="G47" s="52" t="s">
        <v>335</v>
      </c>
      <c r="H47" s="63"/>
      <c r="I47" s="73"/>
      <c r="J47" s="73"/>
      <c r="K47" s="81"/>
      <c r="L47" s="85"/>
      <c r="M47" s="81"/>
      <c r="N47" s="85"/>
      <c r="O47" s="92"/>
      <c r="P47" s="66" t="s">
        <v>336</v>
      </c>
      <c r="Q47" s="74" t="s">
        <v>1</v>
      </c>
      <c r="R47" s="82" t="s">
        <v>1</v>
      </c>
      <c r="S47" s="86">
        <v>42</v>
      </c>
      <c r="T47" s="82" t="s">
        <v>1</v>
      </c>
      <c r="U47" s="38"/>
      <c r="V47" s="82" t="s">
        <v>1</v>
      </c>
      <c r="W47" s="86">
        <v>461.3</v>
      </c>
      <c r="X47" s="93" t="s">
        <v>7</v>
      </c>
      <c r="Y47" s="66" t="s">
        <v>339</v>
      </c>
      <c r="Z47" s="74" t="s">
        <v>201</v>
      </c>
      <c r="AA47" s="82" t="s">
        <v>6</v>
      </c>
      <c r="AB47" s="86">
        <v>545</v>
      </c>
      <c r="AC47" s="82" t="s">
        <v>1</v>
      </c>
      <c r="AD47" s="86">
        <v>576.6</v>
      </c>
      <c r="AE47" s="82" t="s">
        <v>1</v>
      </c>
      <c r="AF47" s="86">
        <v>427.3</v>
      </c>
      <c r="AG47" s="93" t="s">
        <v>7</v>
      </c>
      <c r="AH47" s="127"/>
      <c r="AI47" s="136"/>
      <c r="AJ47" s="136"/>
      <c r="AK47" s="136"/>
      <c r="AL47" s="119"/>
      <c r="AM47" s="129">
        <v>3.7</v>
      </c>
      <c r="AN47" s="138">
        <v>3.5</v>
      </c>
      <c r="AO47" s="138">
        <v>4</v>
      </c>
      <c r="AP47" s="138">
        <v>4.8</v>
      </c>
      <c r="AQ47" s="121">
        <v>4.8</v>
      </c>
      <c r="AR47" s="129">
        <v>3.7</v>
      </c>
      <c r="AS47" s="138">
        <v>3.5</v>
      </c>
      <c r="AT47" s="138">
        <v>4</v>
      </c>
      <c r="AU47" s="138">
        <v>4.5</v>
      </c>
      <c r="AV47" s="121">
        <v>4.8</v>
      </c>
      <c r="AW47" s="20" t="s">
        <v>202</v>
      </c>
    </row>
    <row r="48" spans="1:49" ht="48" customHeight="1">
      <c r="A48" s="32" t="s">
        <v>191</v>
      </c>
      <c r="B48" s="28" t="s">
        <v>193</v>
      </c>
      <c r="C48" s="328" t="s">
        <v>50</v>
      </c>
      <c r="D48" s="40" t="s">
        <v>272</v>
      </c>
      <c r="E48" s="46" t="s">
        <v>314</v>
      </c>
      <c r="F48" s="56" t="s">
        <v>54</v>
      </c>
      <c r="G48" s="52" t="s">
        <v>335</v>
      </c>
      <c r="H48" s="63"/>
      <c r="I48" s="73"/>
      <c r="J48" s="73"/>
      <c r="K48" s="81"/>
      <c r="L48" s="85"/>
      <c r="M48" s="81"/>
      <c r="N48" s="85"/>
      <c r="O48" s="59"/>
      <c r="P48" s="66" t="s">
        <v>336</v>
      </c>
      <c r="Q48" s="74" t="s">
        <v>51</v>
      </c>
      <c r="R48" s="82" t="s">
        <v>1</v>
      </c>
      <c r="S48" s="86">
        <v>47</v>
      </c>
      <c r="T48" s="82" t="s">
        <v>1</v>
      </c>
      <c r="U48" s="38"/>
      <c r="V48" s="82" t="s">
        <v>1</v>
      </c>
      <c r="W48" s="86">
        <v>446.2</v>
      </c>
      <c r="X48" s="60" t="s">
        <v>7</v>
      </c>
      <c r="Y48" s="66" t="s">
        <v>339</v>
      </c>
      <c r="Z48" s="74" t="s">
        <v>1</v>
      </c>
      <c r="AA48" s="82" t="s">
        <v>6</v>
      </c>
      <c r="AB48" s="86">
        <v>597</v>
      </c>
      <c r="AC48" s="82" t="s">
        <v>6</v>
      </c>
      <c r="AD48" s="86">
        <v>698.5</v>
      </c>
      <c r="AE48" s="82" t="s">
        <v>1</v>
      </c>
      <c r="AF48" s="86">
        <v>418.2</v>
      </c>
      <c r="AG48" s="60" t="s">
        <v>7</v>
      </c>
      <c r="AH48" s="127"/>
      <c r="AI48" s="136"/>
      <c r="AJ48" s="136"/>
      <c r="AK48" s="136"/>
      <c r="AL48" s="119"/>
      <c r="AM48" s="129">
        <v>3</v>
      </c>
      <c r="AN48" s="138">
        <v>3</v>
      </c>
      <c r="AO48" s="138">
        <v>4</v>
      </c>
      <c r="AP48" s="138">
        <v>4.3</v>
      </c>
      <c r="AQ48" s="121">
        <v>4.5999999999999996</v>
      </c>
      <c r="AR48" s="129">
        <v>3</v>
      </c>
      <c r="AS48" s="138">
        <v>3.2</v>
      </c>
      <c r="AT48" s="138">
        <v>4</v>
      </c>
      <c r="AU48" s="138">
        <v>4.5</v>
      </c>
      <c r="AV48" s="121">
        <v>4.2</v>
      </c>
      <c r="AW48" s="20"/>
    </row>
    <row r="49" spans="1:49" ht="48" customHeight="1">
      <c r="A49" s="32" t="s">
        <v>191</v>
      </c>
      <c r="B49" s="28" t="s">
        <v>193</v>
      </c>
      <c r="C49" s="328" t="s">
        <v>60</v>
      </c>
      <c r="D49" s="40" t="s">
        <v>267</v>
      </c>
      <c r="E49" s="46" t="s">
        <v>244</v>
      </c>
      <c r="F49" s="56" t="s">
        <v>56</v>
      </c>
      <c r="G49" s="52" t="s">
        <v>335</v>
      </c>
      <c r="H49" s="63"/>
      <c r="I49" s="73"/>
      <c r="J49" s="73"/>
      <c r="K49" s="81"/>
      <c r="L49" s="85"/>
      <c r="M49" s="81"/>
      <c r="N49" s="85"/>
      <c r="O49" s="92"/>
      <c r="P49" s="66" t="s">
        <v>336</v>
      </c>
      <c r="Q49" s="74" t="s">
        <v>1</v>
      </c>
      <c r="R49" s="82" t="s">
        <v>1</v>
      </c>
      <c r="S49" s="86">
        <v>48</v>
      </c>
      <c r="T49" s="82" t="s">
        <v>1</v>
      </c>
      <c r="U49" s="38"/>
      <c r="V49" s="82" t="s">
        <v>1</v>
      </c>
      <c r="W49" s="86">
        <v>414.3</v>
      </c>
      <c r="X49" s="93" t="s">
        <v>7</v>
      </c>
      <c r="Y49" s="65" t="s">
        <v>340</v>
      </c>
      <c r="Z49" s="74" t="s">
        <v>6</v>
      </c>
      <c r="AA49" s="82" t="s">
        <v>1</v>
      </c>
      <c r="AB49" s="86">
        <v>503</v>
      </c>
      <c r="AC49" s="82" t="s">
        <v>6</v>
      </c>
      <c r="AD49" s="107">
        <v>686</v>
      </c>
      <c r="AE49" s="82" t="s">
        <v>1</v>
      </c>
      <c r="AF49" s="86">
        <v>540.6</v>
      </c>
      <c r="AG49" s="111" t="s">
        <v>200</v>
      </c>
      <c r="AH49" s="127"/>
      <c r="AI49" s="136"/>
      <c r="AJ49" s="136"/>
      <c r="AK49" s="136"/>
      <c r="AL49" s="119"/>
      <c r="AM49" s="129">
        <v>3.3</v>
      </c>
      <c r="AN49" s="138">
        <v>2.2999999999999998</v>
      </c>
      <c r="AO49" s="138">
        <v>2.7</v>
      </c>
      <c r="AP49" s="138">
        <v>2.5</v>
      </c>
      <c r="AQ49" s="121">
        <v>4.4000000000000004</v>
      </c>
      <c r="AR49" s="129">
        <v>3.3</v>
      </c>
      <c r="AS49" s="138">
        <v>2.2999999999999998</v>
      </c>
      <c r="AT49" s="138">
        <v>2.7</v>
      </c>
      <c r="AU49" s="138">
        <v>4.3</v>
      </c>
      <c r="AV49" s="121">
        <v>4.4000000000000004</v>
      </c>
      <c r="AW49" s="20" t="s">
        <v>199</v>
      </c>
    </row>
    <row r="50" spans="1:49" ht="48" customHeight="1">
      <c r="A50" s="32" t="s">
        <v>191</v>
      </c>
      <c r="B50" s="28" t="s">
        <v>193</v>
      </c>
      <c r="C50" s="328" t="s">
        <v>513</v>
      </c>
      <c r="D50" s="40" t="s">
        <v>503</v>
      </c>
      <c r="E50" s="46" t="s">
        <v>310</v>
      </c>
      <c r="F50" s="56" t="s">
        <v>504</v>
      </c>
      <c r="G50" s="52" t="s">
        <v>335</v>
      </c>
      <c r="H50" s="63"/>
      <c r="I50" s="73"/>
      <c r="J50" s="73"/>
      <c r="K50" s="81"/>
      <c r="L50" s="85"/>
      <c r="M50" s="81"/>
      <c r="N50" s="85"/>
      <c r="O50" s="92"/>
      <c r="P50" s="66" t="s">
        <v>336</v>
      </c>
      <c r="Q50" s="74" t="s">
        <v>1</v>
      </c>
      <c r="R50" s="82" t="s">
        <v>1</v>
      </c>
      <c r="S50" s="86">
        <v>50</v>
      </c>
      <c r="T50" s="82" t="s">
        <v>1</v>
      </c>
      <c r="U50" s="38"/>
      <c r="V50" s="82" t="s">
        <v>1</v>
      </c>
      <c r="W50" s="86">
        <v>426.5</v>
      </c>
      <c r="X50" s="93" t="s">
        <v>7</v>
      </c>
      <c r="Y50" s="64" t="s">
        <v>505</v>
      </c>
      <c r="Z50" s="74" t="s">
        <v>20</v>
      </c>
      <c r="AA50" s="82" t="s">
        <v>20</v>
      </c>
      <c r="AB50" s="86">
        <v>618</v>
      </c>
      <c r="AC50" s="82" t="s">
        <v>1</v>
      </c>
      <c r="AD50" s="107">
        <v>571.29999999999995</v>
      </c>
      <c r="AE50" s="82" t="s">
        <v>1</v>
      </c>
      <c r="AF50" s="107">
        <v>323.7</v>
      </c>
      <c r="AG50" s="93" t="s">
        <v>7</v>
      </c>
      <c r="AH50" s="123"/>
      <c r="AI50" s="132"/>
      <c r="AJ50" s="132"/>
      <c r="AK50" s="132"/>
      <c r="AL50" s="115"/>
      <c r="AM50" s="124">
        <v>4</v>
      </c>
      <c r="AN50" s="133">
        <v>1</v>
      </c>
      <c r="AO50" s="133">
        <v>5</v>
      </c>
      <c r="AP50" s="133">
        <v>3</v>
      </c>
      <c r="AQ50" s="116">
        <v>3</v>
      </c>
      <c r="AR50" s="124">
        <v>3</v>
      </c>
      <c r="AS50" s="133">
        <v>1</v>
      </c>
      <c r="AT50" s="133">
        <v>3</v>
      </c>
      <c r="AU50" s="133">
        <v>3</v>
      </c>
      <c r="AV50" s="116">
        <v>3</v>
      </c>
      <c r="AW50" s="20"/>
    </row>
    <row r="51" spans="1:49" ht="48" customHeight="1">
      <c r="A51" s="32" t="s">
        <v>191</v>
      </c>
      <c r="B51" s="26" t="s">
        <v>186</v>
      </c>
      <c r="C51" s="328" t="s">
        <v>93</v>
      </c>
      <c r="D51" s="37" t="s">
        <v>245</v>
      </c>
      <c r="E51" s="46" t="s">
        <v>296</v>
      </c>
      <c r="F51" s="56" t="s">
        <v>92</v>
      </c>
      <c r="G51" s="52" t="s">
        <v>335</v>
      </c>
      <c r="H51" s="63"/>
      <c r="I51" s="73"/>
      <c r="J51" s="73"/>
      <c r="K51" s="81"/>
      <c r="L51" s="85"/>
      <c r="M51" s="81"/>
      <c r="N51" s="85"/>
      <c r="O51" s="92"/>
      <c r="P51" s="64" t="s">
        <v>337</v>
      </c>
      <c r="Q51" s="74" t="s">
        <v>112</v>
      </c>
      <c r="R51" s="82" t="s">
        <v>1</v>
      </c>
      <c r="S51" s="86">
        <v>52</v>
      </c>
      <c r="T51" s="82" t="s">
        <v>1</v>
      </c>
      <c r="U51" s="38"/>
      <c r="V51" s="82" t="s">
        <v>113</v>
      </c>
      <c r="W51" s="86">
        <v>493.7</v>
      </c>
      <c r="X51" s="93" t="s">
        <v>7</v>
      </c>
      <c r="Y51" s="99" t="s">
        <v>336</v>
      </c>
      <c r="Z51" s="74" t="s">
        <v>1</v>
      </c>
      <c r="AA51" s="82" t="s">
        <v>1</v>
      </c>
      <c r="AB51" s="86">
        <v>430</v>
      </c>
      <c r="AC51" s="82" t="s">
        <v>1</v>
      </c>
      <c r="AD51" s="107">
        <v>620.1</v>
      </c>
      <c r="AE51" s="82" t="s">
        <v>1</v>
      </c>
      <c r="AF51" s="86">
        <v>402.6</v>
      </c>
      <c r="AG51" s="93" t="s">
        <v>7</v>
      </c>
      <c r="AH51" s="123"/>
      <c r="AI51" s="132"/>
      <c r="AJ51" s="132"/>
      <c r="AK51" s="132"/>
      <c r="AL51" s="115"/>
      <c r="AM51" s="124">
        <v>4</v>
      </c>
      <c r="AN51" s="133">
        <v>3</v>
      </c>
      <c r="AO51" s="133">
        <v>2</v>
      </c>
      <c r="AP51" s="133">
        <v>5</v>
      </c>
      <c r="AQ51" s="116">
        <v>3</v>
      </c>
      <c r="AR51" s="124">
        <v>4</v>
      </c>
      <c r="AS51" s="133">
        <v>3</v>
      </c>
      <c r="AT51" s="133">
        <v>2</v>
      </c>
      <c r="AU51" s="133">
        <v>5</v>
      </c>
      <c r="AV51" s="116">
        <v>3</v>
      </c>
      <c r="AW51" s="20"/>
    </row>
    <row r="52" spans="1:49" ht="48" customHeight="1">
      <c r="A52" s="32" t="s">
        <v>191</v>
      </c>
      <c r="B52" s="26" t="s">
        <v>186</v>
      </c>
      <c r="C52" s="328" t="s">
        <v>78</v>
      </c>
      <c r="D52" s="38" t="s">
        <v>248</v>
      </c>
      <c r="E52" s="47" t="s">
        <v>296</v>
      </c>
      <c r="F52" s="56" t="s">
        <v>75</v>
      </c>
      <c r="G52" s="52" t="s">
        <v>335</v>
      </c>
      <c r="H52" s="63"/>
      <c r="I52" s="73"/>
      <c r="J52" s="73"/>
      <c r="K52" s="81"/>
      <c r="L52" s="85"/>
      <c r="M52" s="81"/>
      <c r="N52" s="85"/>
      <c r="O52" s="59"/>
      <c r="P52" s="64" t="s">
        <v>337</v>
      </c>
      <c r="Q52" s="74" t="s">
        <v>1</v>
      </c>
      <c r="R52" s="82" t="s">
        <v>118</v>
      </c>
      <c r="S52" s="86">
        <v>44</v>
      </c>
      <c r="T52" s="82" t="s">
        <v>118</v>
      </c>
      <c r="U52" s="38"/>
      <c r="V52" s="82" t="s">
        <v>6</v>
      </c>
      <c r="W52" s="86">
        <v>542.70000000000005</v>
      </c>
      <c r="X52" s="60" t="s">
        <v>7</v>
      </c>
      <c r="Y52" s="66" t="s">
        <v>336</v>
      </c>
      <c r="Z52" s="74" t="s">
        <v>1</v>
      </c>
      <c r="AA52" s="82" t="s">
        <v>1</v>
      </c>
      <c r="AB52" s="86">
        <v>394</v>
      </c>
      <c r="AC52" s="82" t="s">
        <v>1</v>
      </c>
      <c r="AD52" s="107">
        <v>560.20000000000005</v>
      </c>
      <c r="AE52" s="82" t="s">
        <v>1</v>
      </c>
      <c r="AF52" s="86">
        <v>372.7</v>
      </c>
      <c r="AG52" s="60" t="s">
        <v>7</v>
      </c>
      <c r="AH52" s="127"/>
      <c r="AI52" s="136"/>
      <c r="AJ52" s="136"/>
      <c r="AK52" s="136"/>
      <c r="AL52" s="119"/>
      <c r="AM52" s="129">
        <v>4.2</v>
      </c>
      <c r="AN52" s="138">
        <v>4.7</v>
      </c>
      <c r="AO52" s="138">
        <v>4.3</v>
      </c>
      <c r="AP52" s="138">
        <v>4.3</v>
      </c>
      <c r="AQ52" s="121">
        <v>4.8</v>
      </c>
      <c r="AR52" s="129">
        <v>4.2</v>
      </c>
      <c r="AS52" s="138">
        <v>4.7</v>
      </c>
      <c r="AT52" s="138">
        <v>4.3</v>
      </c>
      <c r="AU52" s="138">
        <v>5</v>
      </c>
      <c r="AV52" s="121">
        <v>4.8</v>
      </c>
      <c r="AW52" s="20"/>
    </row>
    <row r="53" spans="1:49" ht="48" customHeight="1">
      <c r="A53" s="32" t="s">
        <v>191</v>
      </c>
      <c r="B53" s="26" t="s">
        <v>186</v>
      </c>
      <c r="C53" s="328" t="s">
        <v>77</v>
      </c>
      <c r="D53" s="38" t="s">
        <v>247</v>
      </c>
      <c r="E53" s="47" t="s">
        <v>299</v>
      </c>
      <c r="F53" s="56" t="s">
        <v>75</v>
      </c>
      <c r="G53" s="52" t="s">
        <v>335</v>
      </c>
      <c r="H53" s="63"/>
      <c r="I53" s="73"/>
      <c r="J53" s="73"/>
      <c r="K53" s="81"/>
      <c r="L53" s="85"/>
      <c r="M53" s="81"/>
      <c r="N53" s="85"/>
      <c r="O53" s="59"/>
      <c r="P53" s="64" t="s">
        <v>337</v>
      </c>
      <c r="Q53" s="74" t="s">
        <v>1</v>
      </c>
      <c r="R53" s="82" t="s">
        <v>116</v>
      </c>
      <c r="S53" s="86">
        <v>39</v>
      </c>
      <c r="T53" s="82" t="s">
        <v>116</v>
      </c>
      <c r="U53" s="38"/>
      <c r="V53" s="82" t="s">
        <v>117</v>
      </c>
      <c r="W53" s="86">
        <v>532.4</v>
      </c>
      <c r="X53" s="60" t="s">
        <v>7</v>
      </c>
      <c r="Y53" s="66" t="s">
        <v>336</v>
      </c>
      <c r="Z53" s="74" t="s">
        <v>1</v>
      </c>
      <c r="AA53" s="82" t="s">
        <v>1</v>
      </c>
      <c r="AB53" s="86">
        <v>446</v>
      </c>
      <c r="AC53" s="82" t="s">
        <v>1</v>
      </c>
      <c r="AD53" s="107">
        <v>530.5</v>
      </c>
      <c r="AE53" s="82" t="s">
        <v>1</v>
      </c>
      <c r="AF53" s="86">
        <v>401.3</v>
      </c>
      <c r="AG53" s="60" t="s">
        <v>7</v>
      </c>
      <c r="AH53" s="127"/>
      <c r="AI53" s="136"/>
      <c r="AJ53" s="136"/>
      <c r="AK53" s="136"/>
      <c r="AL53" s="119"/>
      <c r="AM53" s="129">
        <v>3.8</v>
      </c>
      <c r="AN53" s="138">
        <v>3.3</v>
      </c>
      <c r="AO53" s="138">
        <v>4.3</v>
      </c>
      <c r="AP53" s="138">
        <v>3.8</v>
      </c>
      <c r="AQ53" s="121">
        <v>4.8</v>
      </c>
      <c r="AR53" s="129">
        <v>3.8</v>
      </c>
      <c r="AS53" s="138">
        <v>3.3</v>
      </c>
      <c r="AT53" s="138">
        <v>4.3</v>
      </c>
      <c r="AU53" s="138">
        <v>4.7</v>
      </c>
      <c r="AV53" s="121">
        <v>4.4000000000000004</v>
      </c>
      <c r="AW53" s="20"/>
    </row>
    <row r="54" spans="1:49" ht="48" customHeight="1">
      <c r="A54" s="32" t="s">
        <v>191</v>
      </c>
      <c r="B54" s="26" t="s">
        <v>186</v>
      </c>
      <c r="C54" s="328" t="s">
        <v>63</v>
      </c>
      <c r="D54" s="37" t="s">
        <v>329</v>
      </c>
      <c r="E54" s="46" t="s">
        <v>297</v>
      </c>
      <c r="F54" s="56" t="s">
        <v>56</v>
      </c>
      <c r="G54" s="52" t="s">
        <v>335</v>
      </c>
      <c r="H54" s="63"/>
      <c r="I54" s="73"/>
      <c r="J54" s="73"/>
      <c r="K54" s="81"/>
      <c r="L54" s="85"/>
      <c r="M54" s="81"/>
      <c r="N54" s="85"/>
      <c r="O54" s="92"/>
      <c r="P54" s="64" t="s">
        <v>337</v>
      </c>
      <c r="Q54" s="74" t="s">
        <v>1</v>
      </c>
      <c r="R54" s="82" t="s">
        <v>118</v>
      </c>
      <c r="S54" s="86">
        <v>51</v>
      </c>
      <c r="T54" s="82" t="s">
        <v>1</v>
      </c>
      <c r="U54" s="38"/>
      <c r="V54" s="82" t="s">
        <v>119</v>
      </c>
      <c r="W54" s="86">
        <v>505.4</v>
      </c>
      <c r="X54" s="93" t="s">
        <v>7</v>
      </c>
      <c r="Y54" s="99" t="s">
        <v>336</v>
      </c>
      <c r="Z54" s="74" t="s">
        <v>1</v>
      </c>
      <c r="AA54" s="82" t="s">
        <v>1</v>
      </c>
      <c r="AB54" s="86">
        <v>384</v>
      </c>
      <c r="AC54" s="82" t="s">
        <v>1</v>
      </c>
      <c r="AD54" s="107">
        <v>592.5</v>
      </c>
      <c r="AE54" s="82" t="s">
        <v>1</v>
      </c>
      <c r="AF54" s="86">
        <v>419.4</v>
      </c>
      <c r="AG54" s="93" t="s">
        <v>7</v>
      </c>
      <c r="AH54" s="127"/>
      <c r="AI54" s="136"/>
      <c r="AJ54" s="136"/>
      <c r="AK54" s="136"/>
      <c r="AL54" s="119"/>
      <c r="AM54" s="129">
        <v>4.2</v>
      </c>
      <c r="AN54" s="138">
        <v>4</v>
      </c>
      <c r="AO54" s="138">
        <v>4.3</v>
      </c>
      <c r="AP54" s="138">
        <v>4.5</v>
      </c>
      <c r="AQ54" s="121">
        <v>4.8</v>
      </c>
      <c r="AR54" s="129">
        <v>4.2</v>
      </c>
      <c r="AS54" s="138">
        <v>4</v>
      </c>
      <c r="AT54" s="138">
        <v>4.3</v>
      </c>
      <c r="AU54" s="138">
        <v>5</v>
      </c>
      <c r="AV54" s="121">
        <v>4.8</v>
      </c>
      <c r="AW54" s="20"/>
    </row>
    <row r="55" spans="1:49" ht="48" customHeight="1">
      <c r="A55" s="32" t="s">
        <v>191</v>
      </c>
      <c r="B55" s="28" t="s">
        <v>193</v>
      </c>
      <c r="C55" s="330" t="s">
        <v>45</v>
      </c>
      <c r="D55" s="38" t="s">
        <v>274</v>
      </c>
      <c r="E55" s="47" t="s">
        <v>297</v>
      </c>
      <c r="F55" s="56" t="s">
        <v>55</v>
      </c>
      <c r="G55" s="52" t="s">
        <v>335</v>
      </c>
      <c r="H55" s="67"/>
      <c r="I55" s="76"/>
      <c r="J55" s="73"/>
      <c r="K55" s="81"/>
      <c r="L55" s="85"/>
      <c r="M55" s="81"/>
      <c r="N55" s="85"/>
      <c r="O55" s="61"/>
      <c r="P55" s="64" t="s">
        <v>337</v>
      </c>
      <c r="Q55" s="74" t="s">
        <v>203</v>
      </c>
      <c r="R55" s="82" t="s">
        <v>111</v>
      </c>
      <c r="S55" s="86">
        <v>54</v>
      </c>
      <c r="T55" s="82" t="s">
        <v>116</v>
      </c>
      <c r="U55" s="38"/>
      <c r="V55" s="82" t="s">
        <v>113</v>
      </c>
      <c r="W55" s="86">
        <v>490.8</v>
      </c>
      <c r="X55" s="98" t="s">
        <v>7</v>
      </c>
      <c r="Y55" s="99" t="s">
        <v>336</v>
      </c>
      <c r="Z55" s="74" t="s">
        <v>203</v>
      </c>
      <c r="AA55" s="82" t="s">
        <v>1</v>
      </c>
      <c r="AB55" s="86">
        <v>514</v>
      </c>
      <c r="AC55" s="82" t="s">
        <v>1</v>
      </c>
      <c r="AD55" s="86">
        <v>516.6</v>
      </c>
      <c r="AE55" s="82" t="s">
        <v>1</v>
      </c>
      <c r="AF55" s="86">
        <v>437.4</v>
      </c>
      <c r="AG55" s="98" t="s">
        <v>7</v>
      </c>
      <c r="AH55" s="127"/>
      <c r="AI55" s="136"/>
      <c r="AJ55" s="136"/>
      <c r="AK55" s="136"/>
      <c r="AL55" s="119"/>
      <c r="AM55" s="129">
        <v>4.7</v>
      </c>
      <c r="AN55" s="138">
        <v>5</v>
      </c>
      <c r="AO55" s="138">
        <v>3</v>
      </c>
      <c r="AP55" s="138">
        <v>5</v>
      </c>
      <c r="AQ55" s="121">
        <v>5</v>
      </c>
      <c r="AR55" s="129">
        <v>4.7</v>
      </c>
      <c r="AS55" s="138">
        <v>5</v>
      </c>
      <c r="AT55" s="138">
        <v>3</v>
      </c>
      <c r="AU55" s="138">
        <v>5</v>
      </c>
      <c r="AV55" s="121">
        <v>4.5999999999999996</v>
      </c>
      <c r="AW55" s="150" t="s">
        <v>204</v>
      </c>
    </row>
    <row r="56" spans="1:49" ht="48" customHeight="1">
      <c r="A56" s="32" t="s">
        <v>191</v>
      </c>
      <c r="B56" s="29" t="s">
        <v>186</v>
      </c>
      <c r="C56" s="338" t="s">
        <v>586</v>
      </c>
      <c r="D56" s="342" t="s">
        <v>587</v>
      </c>
      <c r="E56" s="47" t="s">
        <v>588</v>
      </c>
      <c r="F56" s="56" t="s">
        <v>578</v>
      </c>
      <c r="G56" s="52" t="s">
        <v>579</v>
      </c>
      <c r="H56" s="67"/>
      <c r="I56" s="76"/>
      <c r="J56" s="73"/>
      <c r="K56" s="81"/>
      <c r="L56" s="85"/>
      <c r="M56" s="81"/>
      <c r="N56" s="85"/>
      <c r="O56" s="61"/>
      <c r="P56" s="66" t="s">
        <v>582</v>
      </c>
      <c r="Q56" s="103" t="s">
        <v>581</v>
      </c>
      <c r="R56" s="82" t="s">
        <v>1</v>
      </c>
      <c r="S56" s="86">
        <v>53</v>
      </c>
      <c r="T56" s="82" t="s">
        <v>1</v>
      </c>
      <c r="U56" s="38"/>
      <c r="V56" s="82" t="s">
        <v>538</v>
      </c>
      <c r="W56" s="86">
        <v>509.3</v>
      </c>
      <c r="X56" s="98" t="s">
        <v>7</v>
      </c>
      <c r="Y56" s="66" t="s">
        <v>582</v>
      </c>
      <c r="Z56" s="103" t="s">
        <v>1</v>
      </c>
      <c r="AA56" s="82" t="s">
        <v>1</v>
      </c>
      <c r="AB56" s="86">
        <v>489</v>
      </c>
      <c r="AC56" s="82" t="s">
        <v>583</v>
      </c>
      <c r="AD56" s="86">
        <v>797.1</v>
      </c>
      <c r="AE56" s="82" t="s">
        <v>1</v>
      </c>
      <c r="AF56" s="110">
        <v>435</v>
      </c>
      <c r="AG56" s="98" t="s">
        <v>584</v>
      </c>
      <c r="AH56" s="127"/>
      <c r="AI56" s="136"/>
      <c r="AJ56" s="136"/>
      <c r="AK56" s="136"/>
      <c r="AL56" s="119"/>
      <c r="AM56" s="124">
        <v>4</v>
      </c>
      <c r="AN56" s="133">
        <v>2</v>
      </c>
      <c r="AO56" s="133">
        <v>5</v>
      </c>
      <c r="AP56" s="133">
        <v>4</v>
      </c>
      <c r="AQ56" s="116">
        <v>3</v>
      </c>
      <c r="AR56" s="124">
        <v>4</v>
      </c>
      <c r="AS56" s="133">
        <v>2</v>
      </c>
      <c r="AT56" s="133">
        <v>4</v>
      </c>
      <c r="AU56" s="133">
        <v>4</v>
      </c>
      <c r="AV56" s="116">
        <v>3</v>
      </c>
      <c r="AW56" s="20"/>
    </row>
    <row r="57" spans="1:49" ht="48" customHeight="1">
      <c r="A57" s="32" t="s">
        <v>191</v>
      </c>
      <c r="B57" s="29" t="s">
        <v>186</v>
      </c>
      <c r="C57" s="338" t="s">
        <v>563</v>
      </c>
      <c r="D57" s="339" t="s">
        <v>565</v>
      </c>
      <c r="E57" s="47" t="s">
        <v>564</v>
      </c>
      <c r="F57" s="56" t="s">
        <v>557</v>
      </c>
      <c r="G57" s="52" t="s">
        <v>558</v>
      </c>
      <c r="H57" s="67"/>
      <c r="I57" s="76"/>
      <c r="J57" s="73"/>
      <c r="K57" s="81"/>
      <c r="L57" s="85"/>
      <c r="M57" s="81"/>
      <c r="N57" s="85"/>
      <c r="O57" s="61"/>
      <c r="P57" s="66" t="s">
        <v>566</v>
      </c>
      <c r="Q57" s="103" t="s">
        <v>560</v>
      </c>
      <c r="R57" s="82" t="s">
        <v>1</v>
      </c>
      <c r="S57" s="86">
        <v>50</v>
      </c>
      <c r="T57" s="82" t="s">
        <v>1</v>
      </c>
      <c r="U57" s="38"/>
      <c r="V57" s="82" t="s">
        <v>538</v>
      </c>
      <c r="W57" s="86">
        <v>540.20000000000005</v>
      </c>
      <c r="X57" s="98" t="s">
        <v>7</v>
      </c>
      <c r="Y57" s="66" t="s">
        <v>566</v>
      </c>
      <c r="Z57" s="103" t="s">
        <v>1</v>
      </c>
      <c r="AA57" s="82" t="s">
        <v>1</v>
      </c>
      <c r="AB57" s="86">
        <v>520</v>
      </c>
      <c r="AC57" s="82" t="s">
        <v>538</v>
      </c>
      <c r="AD57" s="86">
        <v>649.1</v>
      </c>
      <c r="AE57" s="82" t="s">
        <v>1</v>
      </c>
      <c r="AF57" s="110">
        <v>419.3</v>
      </c>
      <c r="AG57" s="98" t="s">
        <v>562</v>
      </c>
      <c r="AH57" s="127"/>
      <c r="AI57" s="136"/>
      <c r="AJ57" s="136"/>
      <c r="AK57" s="136"/>
      <c r="AL57" s="119"/>
      <c r="AM57" s="124">
        <v>5</v>
      </c>
      <c r="AN57" s="133">
        <v>3</v>
      </c>
      <c r="AO57" s="133">
        <v>4</v>
      </c>
      <c r="AP57" s="133">
        <v>4</v>
      </c>
      <c r="AQ57" s="116">
        <v>3</v>
      </c>
      <c r="AR57" s="124">
        <v>5</v>
      </c>
      <c r="AS57" s="133">
        <v>3</v>
      </c>
      <c r="AT57" s="133">
        <v>4</v>
      </c>
      <c r="AU57" s="133">
        <v>4</v>
      </c>
      <c r="AV57" s="116">
        <v>3</v>
      </c>
      <c r="AW57" s="20"/>
    </row>
    <row r="58" spans="1:49" ht="48" customHeight="1">
      <c r="A58" s="32" t="s">
        <v>191</v>
      </c>
      <c r="B58" s="29" t="s">
        <v>186</v>
      </c>
      <c r="C58" s="329" t="s">
        <v>535</v>
      </c>
      <c r="D58" s="37" t="s">
        <v>540</v>
      </c>
      <c r="E58" s="46" t="s">
        <v>241</v>
      </c>
      <c r="F58" s="56" t="s">
        <v>533</v>
      </c>
      <c r="G58" s="52" t="s">
        <v>181</v>
      </c>
      <c r="H58" s="65" t="s">
        <v>537</v>
      </c>
      <c r="I58" s="75" t="s">
        <v>1</v>
      </c>
      <c r="J58" s="75" t="s">
        <v>1</v>
      </c>
      <c r="K58" s="83" t="s">
        <v>1</v>
      </c>
      <c r="L58" s="87">
        <v>529</v>
      </c>
      <c r="M58" s="83" t="s">
        <v>538</v>
      </c>
      <c r="N58" s="87">
        <v>513.29999999999995</v>
      </c>
      <c r="O58" s="95" t="s">
        <v>7</v>
      </c>
      <c r="P58" s="66" t="s">
        <v>537</v>
      </c>
      <c r="Q58" s="74" t="s">
        <v>538</v>
      </c>
      <c r="R58" s="83" t="s">
        <v>1</v>
      </c>
      <c r="S58" s="87">
        <v>40</v>
      </c>
      <c r="T58" s="83" t="s">
        <v>1</v>
      </c>
      <c r="U58" s="41"/>
      <c r="V58" s="83" t="s">
        <v>1</v>
      </c>
      <c r="W58" s="110">
        <v>386.8</v>
      </c>
      <c r="X58" s="95" t="s">
        <v>7</v>
      </c>
      <c r="Y58" s="64" t="s">
        <v>537</v>
      </c>
      <c r="Z58" s="75" t="s">
        <v>1</v>
      </c>
      <c r="AA58" s="83" t="s">
        <v>1</v>
      </c>
      <c r="AB58" s="87">
        <v>506</v>
      </c>
      <c r="AC58" s="83" t="s">
        <v>538</v>
      </c>
      <c r="AD58" s="110">
        <v>761</v>
      </c>
      <c r="AE58" s="83" t="s">
        <v>1</v>
      </c>
      <c r="AF58" s="110">
        <v>449.6</v>
      </c>
      <c r="AG58" s="95" t="s">
        <v>7</v>
      </c>
      <c r="AH58" s="126">
        <v>5</v>
      </c>
      <c r="AI58" s="135">
        <v>5</v>
      </c>
      <c r="AJ58" s="135">
        <v>5</v>
      </c>
      <c r="AK58" s="135">
        <v>5</v>
      </c>
      <c r="AL58" s="118">
        <v>4</v>
      </c>
      <c r="AM58" s="126">
        <v>5</v>
      </c>
      <c r="AN58" s="135">
        <v>5</v>
      </c>
      <c r="AO58" s="135">
        <v>4</v>
      </c>
      <c r="AP58" s="135">
        <v>5</v>
      </c>
      <c r="AQ58" s="118">
        <v>4</v>
      </c>
      <c r="AR58" s="126">
        <v>5</v>
      </c>
      <c r="AS58" s="135">
        <v>5</v>
      </c>
      <c r="AT58" s="135">
        <v>4</v>
      </c>
      <c r="AU58" s="135">
        <v>5</v>
      </c>
      <c r="AV58" s="118">
        <v>4</v>
      </c>
      <c r="AW58" s="20"/>
    </row>
    <row r="59" spans="1:49" ht="48" customHeight="1">
      <c r="A59" s="32" t="s">
        <v>191</v>
      </c>
      <c r="B59" s="26" t="s">
        <v>186</v>
      </c>
      <c r="C59" s="328" t="s">
        <v>543</v>
      </c>
      <c r="D59" s="37" t="s">
        <v>542</v>
      </c>
      <c r="E59" s="46" t="s">
        <v>244</v>
      </c>
      <c r="F59" s="56" t="s">
        <v>533</v>
      </c>
      <c r="G59" s="52" t="s">
        <v>181</v>
      </c>
      <c r="H59" s="63"/>
      <c r="I59" s="73"/>
      <c r="J59" s="73"/>
      <c r="K59" s="81"/>
      <c r="L59" s="85"/>
      <c r="M59" s="81"/>
      <c r="N59" s="85"/>
      <c r="O59" s="92"/>
      <c r="P59" s="64" t="s">
        <v>537</v>
      </c>
      <c r="Q59" s="74" t="s">
        <v>1</v>
      </c>
      <c r="R59" s="82" t="s">
        <v>1</v>
      </c>
      <c r="S59" s="86">
        <v>52</v>
      </c>
      <c r="T59" s="82" t="s">
        <v>1</v>
      </c>
      <c r="U59" s="38"/>
      <c r="V59" s="82" t="s">
        <v>538</v>
      </c>
      <c r="W59" s="86">
        <v>500.9</v>
      </c>
      <c r="X59" s="93" t="s">
        <v>7</v>
      </c>
      <c r="Y59" s="99" t="s">
        <v>537</v>
      </c>
      <c r="Z59" s="74" t="s">
        <v>1</v>
      </c>
      <c r="AA59" s="82" t="s">
        <v>1</v>
      </c>
      <c r="AB59" s="86">
        <v>478</v>
      </c>
      <c r="AC59" s="82" t="s">
        <v>538</v>
      </c>
      <c r="AD59" s="107">
        <v>651.79999999999995</v>
      </c>
      <c r="AE59" s="82" t="s">
        <v>1</v>
      </c>
      <c r="AF59" s="107">
        <v>394.7</v>
      </c>
      <c r="AG59" s="93" t="s">
        <v>7</v>
      </c>
      <c r="AH59" s="123"/>
      <c r="AI59" s="132"/>
      <c r="AJ59" s="132"/>
      <c r="AK59" s="132"/>
      <c r="AL59" s="115"/>
      <c r="AM59" s="124">
        <v>4</v>
      </c>
      <c r="AN59" s="133">
        <v>1</v>
      </c>
      <c r="AO59" s="133">
        <v>4</v>
      </c>
      <c r="AP59" s="133">
        <v>5</v>
      </c>
      <c r="AQ59" s="116">
        <v>4</v>
      </c>
      <c r="AR59" s="124">
        <v>4</v>
      </c>
      <c r="AS59" s="133">
        <v>1</v>
      </c>
      <c r="AT59" s="133">
        <v>4</v>
      </c>
      <c r="AU59" s="133">
        <v>5</v>
      </c>
      <c r="AV59" s="116">
        <v>4</v>
      </c>
      <c r="AW59" s="20"/>
    </row>
    <row r="60" spans="1:49" ht="48" customHeight="1">
      <c r="A60" s="32" t="s">
        <v>191</v>
      </c>
      <c r="B60" s="26" t="s">
        <v>186</v>
      </c>
      <c r="C60" s="328" t="s">
        <v>182</v>
      </c>
      <c r="D60" s="37" t="s">
        <v>238</v>
      </c>
      <c r="E60" s="46" t="s">
        <v>239</v>
      </c>
      <c r="F60" s="56" t="s">
        <v>183</v>
      </c>
      <c r="G60" s="53" t="s">
        <v>181</v>
      </c>
      <c r="H60" s="63"/>
      <c r="I60" s="73"/>
      <c r="J60" s="73"/>
      <c r="K60" s="81"/>
      <c r="L60" s="85"/>
      <c r="M60" s="81"/>
      <c r="N60" s="85"/>
      <c r="O60" s="92"/>
      <c r="P60" s="64" t="s">
        <v>337</v>
      </c>
      <c r="Q60" s="74" t="s">
        <v>1</v>
      </c>
      <c r="R60" s="82" t="s">
        <v>1</v>
      </c>
      <c r="S60" s="86">
        <v>55</v>
      </c>
      <c r="T60" s="82" t="s">
        <v>1</v>
      </c>
      <c r="U60" s="38"/>
      <c r="V60" s="82" t="s">
        <v>6</v>
      </c>
      <c r="W60" s="107">
        <v>501.7</v>
      </c>
      <c r="X60" s="93" t="s">
        <v>7</v>
      </c>
      <c r="Y60" s="64" t="s">
        <v>337</v>
      </c>
      <c r="Z60" s="74" t="s">
        <v>1</v>
      </c>
      <c r="AA60" s="82" t="s">
        <v>1</v>
      </c>
      <c r="AB60" s="86">
        <v>505</v>
      </c>
      <c r="AC60" s="82" t="s">
        <v>6</v>
      </c>
      <c r="AD60" s="107">
        <v>708.7</v>
      </c>
      <c r="AE60" s="82" t="s">
        <v>1</v>
      </c>
      <c r="AF60" s="107">
        <v>414.6</v>
      </c>
      <c r="AG60" s="93" t="s">
        <v>7</v>
      </c>
      <c r="AH60" s="123"/>
      <c r="AI60" s="132"/>
      <c r="AJ60" s="132"/>
      <c r="AK60" s="132"/>
      <c r="AL60" s="115"/>
      <c r="AM60" s="124">
        <v>5</v>
      </c>
      <c r="AN60" s="133">
        <v>2</v>
      </c>
      <c r="AO60" s="133">
        <v>4</v>
      </c>
      <c r="AP60" s="133">
        <v>4</v>
      </c>
      <c r="AQ60" s="116">
        <v>4</v>
      </c>
      <c r="AR60" s="124">
        <v>5</v>
      </c>
      <c r="AS60" s="133">
        <v>2</v>
      </c>
      <c r="AT60" s="133">
        <v>3</v>
      </c>
      <c r="AU60" s="133">
        <v>4</v>
      </c>
      <c r="AV60" s="116">
        <v>4</v>
      </c>
      <c r="AW60" s="20"/>
    </row>
    <row r="61" spans="1:49" ht="48" customHeight="1">
      <c r="A61" s="32" t="s">
        <v>191</v>
      </c>
      <c r="B61" s="25" t="s">
        <v>345</v>
      </c>
      <c r="C61" s="328" t="s">
        <v>85</v>
      </c>
      <c r="D61" s="42" t="s">
        <v>351</v>
      </c>
      <c r="E61" s="46" t="s">
        <v>302</v>
      </c>
      <c r="F61" s="56" t="s">
        <v>88</v>
      </c>
      <c r="G61" s="52" t="s">
        <v>335</v>
      </c>
      <c r="H61" s="63"/>
      <c r="I61" s="73"/>
      <c r="J61" s="73"/>
      <c r="K61" s="81"/>
      <c r="L61" s="85"/>
      <c r="M61" s="81"/>
      <c r="N61" s="85"/>
      <c r="O61" s="92"/>
      <c r="P61" s="64" t="s">
        <v>337</v>
      </c>
      <c r="Q61" s="74" t="s">
        <v>1</v>
      </c>
      <c r="R61" s="82" t="s">
        <v>1</v>
      </c>
      <c r="S61" s="86">
        <v>39</v>
      </c>
      <c r="T61" s="82" t="s">
        <v>1</v>
      </c>
      <c r="U61" s="38"/>
      <c r="V61" s="82" t="s">
        <v>6</v>
      </c>
      <c r="W61" s="86">
        <v>535.70000000000005</v>
      </c>
      <c r="X61" s="93" t="s">
        <v>7</v>
      </c>
      <c r="Y61" s="64" t="s">
        <v>337</v>
      </c>
      <c r="Z61" s="74" t="s">
        <v>1</v>
      </c>
      <c r="AA61" s="82" t="s">
        <v>6</v>
      </c>
      <c r="AB61" s="86">
        <v>536</v>
      </c>
      <c r="AC61" s="82" t="s">
        <v>1</v>
      </c>
      <c r="AD61" s="86">
        <v>521.6</v>
      </c>
      <c r="AE61" s="82" t="s">
        <v>1</v>
      </c>
      <c r="AF61" s="86">
        <v>346.3</v>
      </c>
      <c r="AG61" s="93" t="s">
        <v>7</v>
      </c>
      <c r="AH61" s="123"/>
      <c r="AI61" s="132"/>
      <c r="AJ61" s="132"/>
      <c r="AK61" s="132"/>
      <c r="AL61" s="115"/>
      <c r="AM61" s="124">
        <v>5</v>
      </c>
      <c r="AN61" s="133">
        <v>3</v>
      </c>
      <c r="AO61" s="133">
        <v>4</v>
      </c>
      <c r="AP61" s="133">
        <v>4</v>
      </c>
      <c r="AQ61" s="116">
        <v>3</v>
      </c>
      <c r="AR61" s="124">
        <v>5</v>
      </c>
      <c r="AS61" s="133">
        <v>3</v>
      </c>
      <c r="AT61" s="133">
        <v>4</v>
      </c>
      <c r="AU61" s="133">
        <v>4</v>
      </c>
      <c r="AV61" s="116">
        <v>3</v>
      </c>
      <c r="AW61" s="23" t="s">
        <v>236</v>
      </c>
    </row>
    <row r="62" spans="1:49" ht="48" customHeight="1">
      <c r="A62" s="32" t="s">
        <v>191</v>
      </c>
      <c r="B62" s="26" t="s">
        <v>186</v>
      </c>
      <c r="C62" s="328" t="s">
        <v>84</v>
      </c>
      <c r="D62" s="37" t="s">
        <v>246</v>
      </c>
      <c r="E62" s="46" t="s">
        <v>297</v>
      </c>
      <c r="F62" s="56" t="s">
        <v>88</v>
      </c>
      <c r="G62" s="52" t="s">
        <v>335</v>
      </c>
      <c r="H62" s="63"/>
      <c r="I62" s="73"/>
      <c r="J62" s="73"/>
      <c r="K62" s="81"/>
      <c r="L62" s="85"/>
      <c r="M62" s="81"/>
      <c r="N62" s="85"/>
      <c r="O62" s="92"/>
      <c r="P62" s="64" t="s">
        <v>337</v>
      </c>
      <c r="Q62" s="74" t="s">
        <v>1</v>
      </c>
      <c r="R62" s="82" t="s">
        <v>1</v>
      </c>
      <c r="S62" s="86">
        <v>49</v>
      </c>
      <c r="T62" s="82" t="s">
        <v>114</v>
      </c>
      <c r="U62" s="38"/>
      <c r="V62" s="82" t="s">
        <v>115</v>
      </c>
      <c r="W62" s="86">
        <v>504.3</v>
      </c>
      <c r="X62" s="93" t="s">
        <v>7</v>
      </c>
      <c r="Y62" s="64" t="s">
        <v>337</v>
      </c>
      <c r="Z62" s="74" t="s">
        <v>1</v>
      </c>
      <c r="AA62" s="82" t="s">
        <v>1</v>
      </c>
      <c r="AB62" s="86">
        <v>461</v>
      </c>
      <c r="AC62" s="82" t="s">
        <v>6</v>
      </c>
      <c r="AD62" s="107">
        <v>719.2</v>
      </c>
      <c r="AE62" s="82" t="s">
        <v>1</v>
      </c>
      <c r="AF62" s="86">
        <v>403.8</v>
      </c>
      <c r="AG62" s="93" t="s">
        <v>7</v>
      </c>
      <c r="AH62" s="123"/>
      <c r="AI62" s="132"/>
      <c r="AJ62" s="132"/>
      <c r="AK62" s="132"/>
      <c r="AL62" s="115"/>
      <c r="AM62" s="124">
        <v>5</v>
      </c>
      <c r="AN62" s="133">
        <v>4</v>
      </c>
      <c r="AO62" s="133">
        <v>4</v>
      </c>
      <c r="AP62" s="133">
        <v>5</v>
      </c>
      <c r="AQ62" s="116">
        <v>4</v>
      </c>
      <c r="AR62" s="124">
        <v>5</v>
      </c>
      <c r="AS62" s="133">
        <v>4</v>
      </c>
      <c r="AT62" s="133">
        <v>4</v>
      </c>
      <c r="AU62" s="133">
        <v>5</v>
      </c>
      <c r="AV62" s="116">
        <v>4</v>
      </c>
      <c r="AW62" s="20"/>
    </row>
    <row r="63" spans="1:49" ht="48" customHeight="1">
      <c r="A63" s="32" t="s">
        <v>191</v>
      </c>
      <c r="B63" s="28" t="s">
        <v>193</v>
      </c>
      <c r="C63" s="328" t="s">
        <v>514</v>
      </c>
      <c r="D63" s="40" t="s">
        <v>512</v>
      </c>
      <c r="E63" s="46" t="s">
        <v>314</v>
      </c>
      <c r="F63" s="56" t="s">
        <v>504</v>
      </c>
      <c r="G63" s="52" t="s">
        <v>335</v>
      </c>
      <c r="H63" s="63"/>
      <c r="I63" s="73"/>
      <c r="J63" s="73"/>
      <c r="K63" s="81"/>
      <c r="L63" s="85"/>
      <c r="M63" s="81"/>
      <c r="N63" s="85"/>
      <c r="O63" s="92"/>
      <c r="P63" s="64" t="s">
        <v>337</v>
      </c>
      <c r="Q63" s="74" t="s">
        <v>6</v>
      </c>
      <c r="R63" s="82" t="s">
        <v>1</v>
      </c>
      <c r="S63" s="86">
        <v>39</v>
      </c>
      <c r="T63" s="82" t="s">
        <v>1</v>
      </c>
      <c r="U63" s="38"/>
      <c r="V63" s="82" t="s">
        <v>1</v>
      </c>
      <c r="W63" s="86">
        <v>451.3</v>
      </c>
      <c r="X63" s="93" t="s">
        <v>7</v>
      </c>
      <c r="Y63" s="66" t="s">
        <v>339</v>
      </c>
      <c r="Z63" s="103" t="s">
        <v>1</v>
      </c>
      <c r="AA63" s="82" t="s">
        <v>6</v>
      </c>
      <c r="AB63" s="86">
        <v>553</v>
      </c>
      <c r="AC63" s="82" t="s">
        <v>6</v>
      </c>
      <c r="AD63" s="107">
        <v>645.70000000000005</v>
      </c>
      <c r="AE63" s="82" t="s">
        <v>1</v>
      </c>
      <c r="AF63" s="107">
        <v>478.8</v>
      </c>
      <c r="AG63" s="93" t="s">
        <v>7</v>
      </c>
      <c r="AH63" s="123"/>
      <c r="AI63" s="132"/>
      <c r="AJ63" s="132"/>
      <c r="AK63" s="132"/>
      <c r="AL63" s="115"/>
      <c r="AM63" s="124">
        <v>5</v>
      </c>
      <c r="AN63" s="133">
        <v>1</v>
      </c>
      <c r="AO63" s="133">
        <v>4</v>
      </c>
      <c r="AP63" s="133">
        <v>3</v>
      </c>
      <c r="AQ63" s="116">
        <v>4</v>
      </c>
      <c r="AR63" s="124">
        <v>5</v>
      </c>
      <c r="AS63" s="133">
        <v>1</v>
      </c>
      <c r="AT63" s="133">
        <v>4</v>
      </c>
      <c r="AU63" s="133">
        <v>3</v>
      </c>
      <c r="AV63" s="116">
        <v>4</v>
      </c>
      <c r="AW63" s="20"/>
    </row>
    <row r="64" spans="1:49" ht="48" customHeight="1">
      <c r="A64" s="32" t="s">
        <v>191</v>
      </c>
      <c r="B64" s="26" t="s">
        <v>186</v>
      </c>
      <c r="C64" s="328" t="s">
        <v>106</v>
      </c>
      <c r="D64" s="37" t="s">
        <v>243</v>
      </c>
      <c r="E64" s="46" t="s">
        <v>244</v>
      </c>
      <c r="F64" s="56" t="s">
        <v>108</v>
      </c>
      <c r="G64" s="52" t="s">
        <v>335</v>
      </c>
      <c r="H64" s="63"/>
      <c r="I64" s="73"/>
      <c r="J64" s="73"/>
      <c r="K64" s="81"/>
      <c r="L64" s="85"/>
      <c r="M64" s="81"/>
      <c r="N64" s="85"/>
      <c r="O64" s="92"/>
      <c r="P64" s="64" t="s">
        <v>337</v>
      </c>
      <c r="Q64" s="74" t="s">
        <v>6</v>
      </c>
      <c r="R64" s="82" t="s">
        <v>1</v>
      </c>
      <c r="S64" s="86">
        <v>49</v>
      </c>
      <c r="T64" s="82" t="s">
        <v>1</v>
      </c>
      <c r="U64" s="38"/>
      <c r="V64" s="82" t="s">
        <v>1</v>
      </c>
      <c r="W64" s="86">
        <v>382.7</v>
      </c>
      <c r="X64" s="93" t="s">
        <v>7</v>
      </c>
      <c r="Y64" s="99" t="s">
        <v>339</v>
      </c>
      <c r="Z64" s="74" t="s">
        <v>6</v>
      </c>
      <c r="AA64" s="82" t="s">
        <v>1</v>
      </c>
      <c r="AB64" s="86">
        <v>493</v>
      </c>
      <c r="AC64" s="82" t="s">
        <v>6</v>
      </c>
      <c r="AD64" s="107">
        <v>712</v>
      </c>
      <c r="AE64" s="82" t="s">
        <v>1</v>
      </c>
      <c r="AF64" s="107">
        <v>425</v>
      </c>
      <c r="AG64" s="93" t="s">
        <v>7</v>
      </c>
      <c r="AH64" s="123"/>
      <c r="AI64" s="132"/>
      <c r="AJ64" s="132"/>
      <c r="AK64" s="132"/>
      <c r="AL64" s="115"/>
      <c r="AM64" s="124">
        <v>4</v>
      </c>
      <c r="AN64" s="133">
        <v>3</v>
      </c>
      <c r="AO64" s="133">
        <v>4</v>
      </c>
      <c r="AP64" s="133">
        <v>5</v>
      </c>
      <c r="AQ64" s="116">
        <v>3</v>
      </c>
      <c r="AR64" s="124">
        <v>4</v>
      </c>
      <c r="AS64" s="133">
        <v>3</v>
      </c>
      <c r="AT64" s="133">
        <v>4</v>
      </c>
      <c r="AU64" s="133">
        <v>5</v>
      </c>
      <c r="AV64" s="116">
        <v>3</v>
      </c>
      <c r="AW64" s="20"/>
    </row>
    <row r="65" spans="1:49" ht="48" customHeight="1">
      <c r="A65" s="32" t="s">
        <v>191</v>
      </c>
      <c r="B65" s="28" t="s">
        <v>193</v>
      </c>
      <c r="C65" s="328" t="s">
        <v>95</v>
      </c>
      <c r="D65" s="40" t="s">
        <v>255</v>
      </c>
      <c r="E65" s="46" t="s">
        <v>309</v>
      </c>
      <c r="F65" s="56" t="s">
        <v>92</v>
      </c>
      <c r="G65" s="52" t="s">
        <v>335</v>
      </c>
      <c r="H65" s="63"/>
      <c r="I65" s="73"/>
      <c r="J65" s="73"/>
      <c r="K65" s="81"/>
      <c r="L65" s="85"/>
      <c r="M65" s="81"/>
      <c r="N65" s="85"/>
      <c r="O65" s="92"/>
      <c r="P65" s="64" t="s">
        <v>337</v>
      </c>
      <c r="Q65" s="74" t="s">
        <v>1</v>
      </c>
      <c r="R65" s="82" t="s">
        <v>6</v>
      </c>
      <c r="S65" s="86">
        <v>62</v>
      </c>
      <c r="T65" s="82" t="s">
        <v>1</v>
      </c>
      <c r="U65" s="38"/>
      <c r="V65" s="82" t="s">
        <v>1</v>
      </c>
      <c r="W65" s="86">
        <v>400.9</v>
      </c>
      <c r="X65" s="93" t="s">
        <v>7</v>
      </c>
      <c r="Y65" s="66" t="s">
        <v>339</v>
      </c>
      <c r="Z65" s="74" t="s">
        <v>1</v>
      </c>
      <c r="AA65" s="82" t="s">
        <v>6</v>
      </c>
      <c r="AB65" s="86">
        <v>552</v>
      </c>
      <c r="AC65" s="82" t="s">
        <v>6</v>
      </c>
      <c r="AD65" s="107">
        <v>647.9</v>
      </c>
      <c r="AE65" s="82" t="s">
        <v>1</v>
      </c>
      <c r="AF65" s="86">
        <v>577.79999999999995</v>
      </c>
      <c r="AG65" s="93" t="s">
        <v>7</v>
      </c>
      <c r="AH65" s="123"/>
      <c r="AI65" s="132"/>
      <c r="AJ65" s="132"/>
      <c r="AK65" s="132"/>
      <c r="AL65" s="115"/>
      <c r="AM65" s="124">
        <v>1</v>
      </c>
      <c r="AN65" s="133">
        <v>2</v>
      </c>
      <c r="AO65" s="133">
        <v>4</v>
      </c>
      <c r="AP65" s="133">
        <v>3</v>
      </c>
      <c r="AQ65" s="116">
        <v>3</v>
      </c>
      <c r="AR65" s="124">
        <v>1</v>
      </c>
      <c r="AS65" s="133">
        <v>2</v>
      </c>
      <c r="AT65" s="133">
        <v>4</v>
      </c>
      <c r="AU65" s="133">
        <v>3</v>
      </c>
      <c r="AV65" s="116">
        <v>3</v>
      </c>
      <c r="AW65" s="20"/>
    </row>
    <row r="66" spans="1:49" ht="48" customHeight="1">
      <c r="A66" s="32" t="s">
        <v>191</v>
      </c>
      <c r="B66" s="25" t="s">
        <v>345</v>
      </c>
      <c r="C66" s="328" t="s">
        <v>85</v>
      </c>
      <c r="D66" s="42" t="s">
        <v>352</v>
      </c>
      <c r="E66" s="46" t="s">
        <v>302</v>
      </c>
      <c r="F66" s="56" t="s">
        <v>88</v>
      </c>
      <c r="G66" s="52" t="s">
        <v>335</v>
      </c>
      <c r="H66" s="63"/>
      <c r="I66" s="73"/>
      <c r="J66" s="73"/>
      <c r="K66" s="81"/>
      <c r="L66" s="85"/>
      <c r="M66" s="81"/>
      <c r="N66" s="85"/>
      <c r="O66" s="59"/>
      <c r="P66" s="64" t="s">
        <v>337</v>
      </c>
      <c r="Q66" s="74" t="s">
        <v>1</v>
      </c>
      <c r="R66" s="82" t="s">
        <v>1</v>
      </c>
      <c r="S66" s="86">
        <v>32</v>
      </c>
      <c r="T66" s="82" t="s">
        <v>1</v>
      </c>
      <c r="U66" s="38"/>
      <c r="V66" s="82" t="s">
        <v>6</v>
      </c>
      <c r="W66" s="86">
        <v>605.5</v>
      </c>
      <c r="X66" s="60" t="s">
        <v>7</v>
      </c>
      <c r="Y66" s="99" t="s">
        <v>339</v>
      </c>
      <c r="Z66" s="74" t="s">
        <v>6</v>
      </c>
      <c r="AA66" s="82" t="s">
        <v>6</v>
      </c>
      <c r="AB66" s="86">
        <v>597</v>
      </c>
      <c r="AC66" s="82" t="s">
        <v>6</v>
      </c>
      <c r="AD66" s="86">
        <v>663.5</v>
      </c>
      <c r="AE66" s="82" t="s">
        <v>1</v>
      </c>
      <c r="AF66" s="86">
        <v>485.6</v>
      </c>
      <c r="AG66" s="60" t="s">
        <v>7</v>
      </c>
      <c r="AH66" s="123"/>
      <c r="AI66" s="132"/>
      <c r="AJ66" s="132"/>
      <c r="AK66" s="132"/>
      <c r="AL66" s="115"/>
      <c r="AM66" s="124">
        <v>5</v>
      </c>
      <c r="AN66" s="133">
        <v>3</v>
      </c>
      <c r="AO66" s="133">
        <v>4</v>
      </c>
      <c r="AP66" s="133">
        <v>2</v>
      </c>
      <c r="AQ66" s="116">
        <v>3</v>
      </c>
      <c r="AR66" s="124">
        <v>5</v>
      </c>
      <c r="AS66" s="133">
        <v>3</v>
      </c>
      <c r="AT66" s="133">
        <v>4</v>
      </c>
      <c r="AU66" s="133">
        <v>2</v>
      </c>
      <c r="AV66" s="116">
        <v>3</v>
      </c>
      <c r="AW66" s="23" t="s">
        <v>235</v>
      </c>
    </row>
    <row r="67" spans="1:49" ht="48" customHeight="1">
      <c r="A67" s="32" t="s">
        <v>191</v>
      </c>
      <c r="B67" s="28" t="s">
        <v>193</v>
      </c>
      <c r="C67" s="328" t="s">
        <v>79</v>
      </c>
      <c r="D67" s="40" t="s">
        <v>260</v>
      </c>
      <c r="E67" s="46" t="s">
        <v>311</v>
      </c>
      <c r="F67" s="56" t="s">
        <v>75</v>
      </c>
      <c r="G67" s="52" t="s">
        <v>335</v>
      </c>
      <c r="H67" s="63"/>
      <c r="I67" s="73"/>
      <c r="J67" s="73"/>
      <c r="K67" s="81"/>
      <c r="L67" s="85"/>
      <c r="M67" s="81"/>
      <c r="N67" s="85"/>
      <c r="O67" s="92"/>
      <c r="P67" s="64" t="s">
        <v>337</v>
      </c>
      <c r="Q67" s="74" t="s">
        <v>6</v>
      </c>
      <c r="R67" s="82" t="s">
        <v>1</v>
      </c>
      <c r="S67" s="86">
        <v>50</v>
      </c>
      <c r="T67" s="82" t="s">
        <v>1</v>
      </c>
      <c r="U67" s="38"/>
      <c r="V67" s="82" t="s">
        <v>1</v>
      </c>
      <c r="W67" s="86">
        <v>435.6</v>
      </c>
      <c r="X67" s="93" t="s">
        <v>7</v>
      </c>
      <c r="Y67" s="66" t="s">
        <v>339</v>
      </c>
      <c r="Z67" s="74" t="s">
        <v>1</v>
      </c>
      <c r="AA67" s="82" t="s">
        <v>6</v>
      </c>
      <c r="AB67" s="86">
        <v>587</v>
      </c>
      <c r="AC67" s="82" t="s">
        <v>6</v>
      </c>
      <c r="AD67" s="107">
        <v>735.3</v>
      </c>
      <c r="AE67" s="82" t="s">
        <v>1</v>
      </c>
      <c r="AF67" s="86">
        <v>518.6</v>
      </c>
      <c r="AG67" s="93" t="s">
        <v>7</v>
      </c>
      <c r="AH67" s="127"/>
      <c r="AI67" s="136"/>
      <c r="AJ67" s="136"/>
      <c r="AK67" s="136"/>
      <c r="AL67" s="119"/>
      <c r="AM67" s="129">
        <v>2.8</v>
      </c>
      <c r="AN67" s="138">
        <v>2.5</v>
      </c>
      <c r="AO67" s="138">
        <v>3</v>
      </c>
      <c r="AP67" s="138">
        <v>3.8</v>
      </c>
      <c r="AQ67" s="121">
        <v>3.8</v>
      </c>
      <c r="AR67" s="129">
        <v>2.8</v>
      </c>
      <c r="AS67" s="138">
        <v>2.5</v>
      </c>
      <c r="AT67" s="138">
        <v>3</v>
      </c>
      <c r="AU67" s="138">
        <v>4.5</v>
      </c>
      <c r="AV67" s="121">
        <v>4.2</v>
      </c>
      <c r="AW67" s="20"/>
    </row>
    <row r="68" spans="1:49" ht="48" customHeight="1">
      <c r="A68" s="33" t="s">
        <v>191</v>
      </c>
      <c r="B68" s="31" t="s">
        <v>193</v>
      </c>
      <c r="C68" s="329" t="s">
        <v>81</v>
      </c>
      <c r="D68" s="43" t="s">
        <v>262</v>
      </c>
      <c r="E68" s="49" t="s">
        <v>298</v>
      </c>
      <c r="F68" s="57" t="s">
        <v>75</v>
      </c>
      <c r="G68" s="52" t="s">
        <v>335</v>
      </c>
      <c r="H68" s="62"/>
      <c r="I68" s="72"/>
      <c r="J68" s="72"/>
      <c r="K68" s="80"/>
      <c r="L68" s="84"/>
      <c r="M68" s="80"/>
      <c r="N68" s="84"/>
      <c r="O68" s="94"/>
      <c r="P68" s="65" t="s">
        <v>337</v>
      </c>
      <c r="Q68" s="75" t="s">
        <v>6</v>
      </c>
      <c r="R68" s="83" t="s">
        <v>1</v>
      </c>
      <c r="S68" s="86">
        <v>35</v>
      </c>
      <c r="T68" s="83" t="s">
        <v>1</v>
      </c>
      <c r="U68" s="41"/>
      <c r="V68" s="83" t="s">
        <v>1</v>
      </c>
      <c r="W68" s="86">
        <v>452.7</v>
      </c>
      <c r="X68" s="95" t="s">
        <v>7</v>
      </c>
      <c r="Y68" s="66" t="s">
        <v>339</v>
      </c>
      <c r="Z68" s="75" t="s">
        <v>1</v>
      </c>
      <c r="AA68" s="83" t="s">
        <v>6</v>
      </c>
      <c r="AB68" s="86">
        <v>565</v>
      </c>
      <c r="AC68" s="83" t="s">
        <v>6</v>
      </c>
      <c r="AD68" s="107">
        <v>666.9</v>
      </c>
      <c r="AE68" s="83" t="s">
        <v>1</v>
      </c>
      <c r="AF68" s="86">
        <v>443.2</v>
      </c>
      <c r="AG68" s="333" t="s">
        <v>7</v>
      </c>
      <c r="AH68" s="128"/>
      <c r="AI68" s="137"/>
      <c r="AJ68" s="137"/>
      <c r="AK68" s="137"/>
      <c r="AL68" s="120"/>
      <c r="AM68" s="143">
        <v>4</v>
      </c>
      <c r="AN68" s="145">
        <v>3.8</v>
      </c>
      <c r="AO68" s="145">
        <v>4</v>
      </c>
      <c r="AP68" s="145">
        <v>3.5</v>
      </c>
      <c r="AQ68" s="141">
        <v>5</v>
      </c>
      <c r="AR68" s="143">
        <v>4</v>
      </c>
      <c r="AS68" s="145">
        <v>3.8</v>
      </c>
      <c r="AT68" s="145">
        <v>4</v>
      </c>
      <c r="AU68" s="145">
        <v>4.3</v>
      </c>
      <c r="AV68" s="141">
        <v>5</v>
      </c>
      <c r="AW68" s="22"/>
    </row>
    <row r="69" spans="1:49" ht="48" customHeight="1">
      <c r="A69" s="33" t="s">
        <v>191</v>
      </c>
      <c r="B69" s="28" t="s">
        <v>193</v>
      </c>
      <c r="C69" s="331" t="s">
        <v>41</v>
      </c>
      <c r="D69" s="41" t="s">
        <v>276</v>
      </c>
      <c r="E69" s="48" t="s">
        <v>298</v>
      </c>
      <c r="F69" s="57" t="s">
        <v>38</v>
      </c>
      <c r="G69" s="52" t="s">
        <v>335</v>
      </c>
      <c r="H69" s="70"/>
      <c r="I69" s="78"/>
      <c r="J69" s="72"/>
      <c r="K69" s="80"/>
      <c r="L69" s="84"/>
      <c r="M69" s="80"/>
      <c r="N69" s="84"/>
      <c r="O69" s="181"/>
      <c r="P69" s="65" t="s">
        <v>337</v>
      </c>
      <c r="Q69" s="104" t="s">
        <v>1</v>
      </c>
      <c r="R69" s="83" t="s">
        <v>121</v>
      </c>
      <c r="S69" s="86">
        <v>46</v>
      </c>
      <c r="T69" s="83" t="s">
        <v>1</v>
      </c>
      <c r="U69" s="41"/>
      <c r="V69" s="83" t="s">
        <v>117</v>
      </c>
      <c r="W69" s="86">
        <v>602.4</v>
      </c>
      <c r="X69" s="182" t="s">
        <v>7</v>
      </c>
      <c r="Y69" s="66" t="s">
        <v>339</v>
      </c>
      <c r="Z69" s="104" t="s">
        <v>1</v>
      </c>
      <c r="AA69" s="83" t="s">
        <v>1</v>
      </c>
      <c r="AB69" s="86">
        <v>524</v>
      </c>
      <c r="AC69" s="83" t="s">
        <v>6</v>
      </c>
      <c r="AD69" s="107">
        <v>696</v>
      </c>
      <c r="AE69" s="83" t="s">
        <v>6</v>
      </c>
      <c r="AF69" s="86">
        <v>625.6</v>
      </c>
      <c r="AG69" s="182" t="s">
        <v>7</v>
      </c>
      <c r="AH69" s="128"/>
      <c r="AI69" s="137"/>
      <c r="AJ69" s="137"/>
      <c r="AK69" s="137"/>
      <c r="AL69" s="120"/>
      <c r="AM69" s="143">
        <v>4</v>
      </c>
      <c r="AN69" s="145">
        <v>4.3</v>
      </c>
      <c r="AO69" s="145">
        <v>4</v>
      </c>
      <c r="AP69" s="145">
        <v>4</v>
      </c>
      <c r="AQ69" s="141">
        <v>4.4000000000000004</v>
      </c>
      <c r="AR69" s="143">
        <v>4</v>
      </c>
      <c r="AS69" s="145">
        <v>4.3</v>
      </c>
      <c r="AT69" s="145">
        <v>4</v>
      </c>
      <c r="AU69" s="145">
        <v>4.5</v>
      </c>
      <c r="AV69" s="141">
        <v>4.4000000000000004</v>
      </c>
      <c r="AW69" s="22"/>
    </row>
    <row r="70" spans="1:49" ht="48" customHeight="1">
      <c r="A70" s="32" t="s">
        <v>191</v>
      </c>
      <c r="B70" s="28" t="s">
        <v>193</v>
      </c>
      <c r="C70" s="338" t="s">
        <v>595</v>
      </c>
      <c r="D70" s="342" t="s">
        <v>592</v>
      </c>
      <c r="E70" s="47" t="s">
        <v>593</v>
      </c>
      <c r="F70" s="56" t="s">
        <v>578</v>
      </c>
      <c r="G70" s="52" t="s">
        <v>181</v>
      </c>
      <c r="H70" s="67"/>
      <c r="I70" s="76"/>
      <c r="J70" s="73"/>
      <c r="K70" s="81"/>
      <c r="L70" s="85"/>
      <c r="M70" s="81"/>
      <c r="N70" s="85"/>
      <c r="O70" s="61"/>
      <c r="P70" s="64" t="s">
        <v>582</v>
      </c>
      <c r="Q70" s="74" t="s">
        <v>581</v>
      </c>
      <c r="R70" s="82" t="s">
        <v>583</v>
      </c>
      <c r="S70" s="86">
        <v>61</v>
      </c>
      <c r="T70" s="82" t="s">
        <v>581</v>
      </c>
      <c r="U70" s="38"/>
      <c r="V70" s="82" t="s">
        <v>1</v>
      </c>
      <c r="W70" s="86">
        <v>454.6</v>
      </c>
      <c r="X70" s="98" t="s">
        <v>7</v>
      </c>
      <c r="Y70" s="64" t="s">
        <v>594</v>
      </c>
      <c r="Z70" s="74" t="s">
        <v>538</v>
      </c>
      <c r="AA70" s="82" t="s">
        <v>20</v>
      </c>
      <c r="AB70" s="86">
        <v>616</v>
      </c>
      <c r="AC70" s="82" t="s">
        <v>581</v>
      </c>
      <c r="AD70" s="86">
        <v>532.79999999999995</v>
      </c>
      <c r="AE70" s="82" t="s">
        <v>1</v>
      </c>
      <c r="AF70" s="86">
        <v>396.3</v>
      </c>
      <c r="AG70" s="98" t="s">
        <v>584</v>
      </c>
      <c r="AH70" s="127"/>
      <c r="AI70" s="136"/>
      <c r="AJ70" s="136"/>
      <c r="AK70" s="136"/>
      <c r="AL70" s="119"/>
      <c r="AM70" s="124">
        <v>4</v>
      </c>
      <c r="AN70" s="133">
        <v>3</v>
      </c>
      <c r="AO70" s="133">
        <v>5</v>
      </c>
      <c r="AP70" s="133">
        <v>4</v>
      </c>
      <c r="AQ70" s="116">
        <v>4</v>
      </c>
      <c r="AR70" s="124">
        <v>4</v>
      </c>
      <c r="AS70" s="133">
        <v>3</v>
      </c>
      <c r="AT70" s="133">
        <v>4</v>
      </c>
      <c r="AU70" s="133">
        <v>4</v>
      </c>
      <c r="AV70" s="116">
        <v>4</v>
      </c>
      <c r="AW70" s="150"/>
    </row>
    <row r="71" spans="1:49" ht="48" customHeight="1">
      <c r="A71" s="33" t="s">
        <v>191</v>
      </c>
      <c r="B71" s="31" t="s">
        <v>193</v>
      </c>
      <c r="C71" s="331" t="s">
        <v>194</v>
      </c>
      <c r="D71" s="41" t="s">
        <v>277</v>
      </c>
      <c r="E71" s="48" t="s">
        <v>296</v>
      </c>
      <c r="F71" s="57" t="s">
        <v>38</v>
      </c>
      <c r="G71" s="55" t="s">
        <v>190</v>
      </c>
      <c r="H71" s="70"/>
      <c r="I71" s="78"/>
      <c r="J71" s="72"/>
      <c r="K71" s="80"/>
      <c r="L71" s="84"/>
      <c r="M71" s="80"/>
      <c r="N71" s="84"/>
      <c r="O71" s="181"/>
      <c r="P71" s="99" t="s">
        <v>339</v>
      </c>
      <c r="Q71" s="104" t="s">
        <v>1</v>
      </c>
      <c r="R71" s="83" t="s">
        <v>6</v>
      </c>
      <c r="S71" s="86">
        <v>56</v>
      </c>
      <c r="T71" s="83" t="s">
        <v>122</v>
      </c>
      <c r="U71" s="41"/>
      <c r="V71" s="83" t="s">
        <v>6</v>
      </c>
      <c r="W71" s="86">
        <v>531.1</v>
      </c>
      <c r="X71" s="182" t="s">
        <v>7</v>
      </c>
      <c r="Y71" s="99" t="s">
        <v>336</v>
      </c>
      <c r="Z71" s="104" t="s">
        <v>1</v>
      </c>
      <c r="AA71" s="83" t="s">
        <v>1</v>
      </c>
      <c r="AB71" s="86">
        <v>486</v>
      </c>
      <c r="AC71" s="83" t="s">
        <v>1</v>
      </c>
      <c r="AD71" s="86">
        <v>496.3</v>
      </c>
      <c r="AE71" s="83" t="s">
        <v>1</v>
      </c>
      <c r="AF71" s="86">
        <v>449.1</v>
      </c>
      <c r="AG71" s="182" t="s">
        <v>7</v>
      </c>
      <c r="AH71" s="128"/>
      <c r="AI71" s="137"/>
      <c r="AJ71" s="137"/>
      <c r="AK71" s="137"/>
      <c r="AL71" s="120"/>
      <c r="AM71" s="143">
        <v>4.2</v>
      </c>
      <c r="AN71" s="145">
        <v>4.8</v>
      </c>
      <c r="AO71" s="145">
        <v>4.3</v>
      </c>
      <c r="AP71" s="145">
        <v>4.5</v>
      </c>
      <c r="AQ71" s="141">
        <v>3.4</v>
      </c>
      <c r="AR71" s="143">
        <v>4.2</v>
      </c>
      <c r="AS71" s="145">
        <v>4.8</v>
      </c>
      <c r="AT71" s="145">
        <v>4.3</v>
      </c>
      <c r="AU71" s="145">
        <v>4.5</v>
      </c>
      <c r="AV71" s="141">
        <v>3.4</v>
      </c>
      <c r="AW71" s="22"/>
    </row>
    <row r="72" spans="1:49" ht="48" customHeight="1">
      <c r="A72" s="32" t="s">
        <v>191</v>
      </c>
      <c r="B72" s="28" t="s">
        <v>193</v>
      </c>
      <c r="C72" s="328" t="s">
        <v>80</v>
      </c>
      <c r="D72" s="40" t="s">
        <v>261</v>
      </c>
      <c r="E72" s="46" t="s">
        <v>239</v>
      </c>
      <c r="F72" s="56" t="s">
        <v>75</v>
      </c>
      <c r="G72" s="52" t="s">
        <v>335</v>
      </c>
      <c r="H72" s="62"/>
      <c r="I72" s="73"/>
      <c r="J72" s="73"/>
      <c r="K72" s="81"/>
      <c r="L72" s="85"/>
      <c r="M72" s="81"/>
      <c r="N72" s="85"/>
      <c r="O72" s="92"/>
      <c r="P72" s="99" t="s">
        <v>339</v>
      </c>
      <c r="Q72" s="74" t="s">
        <v>1</v>
      </c>
      <c r="R72" s="82" t="s">
        <v>1</v>
      </c>
      <c r="S72" s="86">
        <v>47</v>
      </c>
      <c r="T72" s="82" t="s">
        <v>6</v>
      </c>
      <c r="U72" s="86">
        <v>13</v>
      </c>
      <c r="V72" s="82" t="s">
        <v>6</v>
      </c>
      <c r="W72" s="86">
        <v>491.3</v>
      </c>
      <c r="X72" s="93" t="s">
        <v>7</v>
      </c>
      <c r="Y72" s="65" t="s">
        <v>337</v>
      </c>
      <c r="Z72" s="74" t="s">
        <v>1</v>
      </c>
      <c r="AA72" s="82" t="s">
        <v>6</v>
      </c>
      <c r="AB72" s="86">
        <v>598</v>
      </c>
      <c r="AC72" s="82" t="s">
        <v>1</v>
      </c>
      <c r="AD72" s="107">
        <v>614</v>
      </c>
      <c r="AE72" s="82" t="s">
        <v>1</v>
      </c>
      <c r="AF72" s="107">
        <v>480</v>
      </c>
      <c r="AG72" s="93" t="s">
        <v>7</v>
      </c>
      <c r="AH72" s="127"/>
      <c r="AI72" s="136"/>
      <c r="AJ72" s="136"/>
      <c r="AK72" s="136"/>
      <c r="AL72" s="119"/>
      <c r="AM72" s="129">
        <v>4.2</v>
      </c>
      <c r="AN72" s="138">
        <v>3.5</v>
      </c>
      <c r="AO72" s="138">
        <v>4.4000000000000004</v>
      </c>
      <c r="AP72" s="138">
        <v>3.8</v>
      </c>
      <c r="AQ72" s="121">
        <v>4.5999999999999996</v>
      </c>
      <c r="AR72" s="129">
        <v>4.2</v>
      </c>
      <c r="AS72" s="138">
        <v>3.5</v>
      </c>
      <c r="AT72" s="138">
        <v>4.4000000000000004</v>
      </c>
      <c r="AU72" s="138">
        <v>3.8</v>
      </c>
      <c r="AV72" s="121">
        <v>4.5999999999999996</v>
      </c>
      <c r="AW72" s="20"/>
    </row>
    <row r="73" spans="1:49" ht="48" customHeight="1">
      <c r="A73" s="33" t="s">
        <v>191</v>
      </c>
      <c r="B73" s="28" t="s">
        <v>193</v>
      </c>
      <c r="C73" s="329" t="s">
        <v>94</v>
      </c>
      <c r="D73" s="43" t="s">
        <v>519</v>
      </c>
      <c r="E73" s="46" t="s">
        <v>304</v>
      </c>
      <c r="F73" s="57" t="s">
        <v>92</v>
      </c>
      <c r="G73" s="52" t="s">
        <v>335</v>
      </c>
      <c r="H73" s="99" t="s">
        <v>338</v>
      </c>
      <c r="I73" s="75" t="s">
        <v>6</v>
      </c>
      <c r="J73" s="75" t="s">
        <v>1</v>
      </c>
      <c r="K73" s="83" t="s">
        <v>1</v>
      </c>
      <c r="L73" s="87">
        <v>517</v>
      </c>
      <c r="M73" s="83" t="s">
        <v>6</v>
      </c>
      <c r="N73" s="87">
        <v>554.79999999999995</v>
      </c>
      <c r="O73" s="156" t="s">
        <v>7</v>
      </c>
      <c r="P73" s="99" t="s">
        <v>339</v>
      </c>
      <c r="Q73" s="74" t="s">
        <v>6</v>
      </c>
      <c r="R73" s="83" t="s">
        <v>1</v>
      </c>
      <c r="S73" s="86">
        <v>39</v>
      </c>
      <c r="T73" s="83" t="s">
        <v>1</v>
      </c>
      <c r="U73" s="41"/>
      <c r="V73" s="83" t="s">
        <v>6</v>
      </c>
      <c r="W73" s="108">
        <v>537.5</v>
      </c>
      <c r="X73" s="95" t="s">
        <v>7</v>
      </c>
      <c r="Y73" s="99" t="s">
        <v>339</v>
      </c>
      <c r="Z73" s="74" t="s">
        <v>6</v>
      </c>
      <c r="AA73" s="82" t="s">
        <v>6</v>
      </c>
      <c r="AB73" s="86">
        <v>584</v>
      </c>
      <c r="AC73" s="82" t="s">
        <v>1</v>
      </c>
      <c r="AD73" s="86">
        <v>522.6</v>
      </c>
      <c r="AE73" s="83" t="s">
        <v>1</v>
      </c>
      <c r="AF73" s="86">
        <v>480.1</v>
      </c>
      <c r="AG73" s="95" t="s">
        <v>7</v>
      </c>
      <c r="AH73" s="126">
        <v>5</v>
      </c>
      <c r="AI73" s="135">
        <v>2</v>
      </c>
      <c r="AJ73" s="135">
        <v>4</v>
      </c>
      <c r="AK73" s="135">
        <v>2</v>
      </c>
      <c r="AL73" s="118">
        <v>4</v>
      </c>
      <c r="AM73" s="126">
        <v>5</v>
      </c>
      <c r="AN73" s="135">
        <v>2</v>
      </c>
      <c r="AO73" s="135">
        <v>4</v>
      </c>
      <c r="AP73" s="135">
        <v>2</v>
      </c>
      <c r="AQ73" s="118">
        <v>4</v>
      </c>
      <c r="AR73" s="126">
        <v>5</v>
      </c>
      <c r="AS73" s="135">
        <v>2</v>
      </c>
      <c r="AT73" s="135">
        <v>4</v>
      </c>
      <c r="AU73" s="135">
        <v>2</v>
      </c>
      <c r="AV73" s="118">
        <v>4</v>
      </c>
      <c r="AW73" s="22"/>
    </row>
    <row r="74" spans="1:49" ht="48" customHeight="1">
      <c r="A74" s="32" t="s">
        <v>191</v>
      </c>
      <c r="B74" s="28" t="s">
        <v>193</v>
      </c>
      <c r="C74" s="328" t="s">
        <v>96</v>
      </c>
      <c r="D74" s="40" t="s">
        <v>257</v>
      </c>
      <c r="E74" s="46" t="s">
        <v>297</v>
      </c>
      <c r="F74" s="56" t="s">
        <v>92</v>
      </c>
      <c r="G74" s="52" t="s">
        <v>335</v>
      </c>
      <c r="H74" s="63"/>
      <c r="I74" s="73"/>
      <c r="J74" s="73"/>
      <c r="K74" s="81"/>
      <c r="L74" s="85"/>
      <c r="M74" s="81"/>
      <c r="N74" s="85"/>
      <c r="O74" s="92"/>
      <c r="P74" s="66" t="s">
        <v>339</v>
      </c>
      <c r="Q74" s="74" t="s">
        <v>6</v>
      </c>
      <c r="R74" s="82" t="s">
        <v>1</v>
      </c>
      <c r="S74" s="86">
        <v>45</v>
      </c>
      <c r="T74" s="82" t="s">
        <v>1</v>
      </c>
      <c r="U74" s="38"/>
      <c r="V74" s="82" t="s">
        <v>6</v>
      </c>
      <c r="W74" s="86">
        <v>517.20000000000005</v>
      </c>
      <c r="X74" s="93" t="s">
        <v>7</v>
      </c>
      <c r="Y74" s="99" t="s">
        <v>339</v>
      </c>
      <c r="Z74" s="74" t="s">
        <v>6</v>
      </c>
      <c r="AA74" s="83" t="s">
        <v>1</v>
      </c>
      <c r="AB74" s="86">
        <v>514</v>
      </c>
      <c r="AC74" s="82" t="s">
        <v>6</v>
      </c>
      <c r="AD74" s="107">
        <v>713.1</v>
      </c>
      <c r="AE74" s="82" t="s">
        <v>1</v>
      </c>
      <c r="AF74" s="86">
        <v>457.5</v>
      </c>
      <c r="AG74" s="95" t="s">
        <v>7</v>
      </c>
      <c r="AH74" s="123"/>
      <c r="AI74" s="132"/>
      <c r="AJ74" s="132"/>
      <c r="AK74" s="132"/>
      <c r="AL74" s="115"/>
      <c r="AM74" s="126">
        <v>5</v>
      </c>
      <c r="AN74" s="135">
        <v>4</v>
      </c>
      <c r="AO74" s="135">
        <v>4</v>
      </c>
      <c r="AP74" s="135">
        <v>4</v>
      </c>
      <c r="AQ74" s="118">
        <v>4</v>
      </c>
      <c r="AR74" s="126">
        <v>5</v>
      </c>
      <c r="AS74" s="135">
        <v>4</v>
      </c>
      <c r="AT74" s="135">
        <v>4</v>
      </c>
      <c r="AU74" s="135">
        <v>4</v>
      </c>
      <c r="AV74" s="118">
        <v>4</v>
      </c>
      <c r="AW74" s="20"/>
    </row>
    <row r="75" spans="1:49" ht="48" customHeight="1">
      <c r="A75" s="32" t="s">
        <v>191</v>
      </c>
      <c r="B75" s="26" t="s">
        <v>186</v>
      </c>
      <c r="C75" s="329" t="s">
        <v>535</v>
      </c>
      <c r="D75" s="335" t="s">
        <v>545</v>
      </c>
      <c r="E75" s="337" t="s">
        <v>305</v>
      </c>
      <c r="F75" s="56" t="s">
        <v>533</v>
      </c>
      <c r="G75" s="52" t="s">
        <v>181</v>
      </c>
      <c r="H75" s="63"/>
      <c r="I75" s="73"/>
      <c r="J75" s="73"/>
      <c r="K75" s="81"/>
      <c r="L75" s="85"/>
      <c r="M75" s="81"/>
      <c r="N75" s="85"/>
      <c r="O75" s="92"/>
      <c r="P75" s="64" t="s">
        <v>546</v>
      </c>
      <c r="Q75" s="74" t="s">
        <v>1</v>
      </c>
      <c r="R75" s="82" t="s">
        <v>538</v>
      </c>
      <c r="S75" s="86">
        <v>57</v>
      </c>
      <c r="T75" s="82" t="s">
        <v>538</v>
      </c>
      <c r="U75" s="86">
        <v>40</v>
      </c>
      <c r="V75" s="82" t="s">
        <v>538</v>
      </c>
      <c r="W75" s="86">
        <v>527.29999999999995</v>
      </c>
      <c r="X75" s="93" t="s">
        <v>7</v>
      </c>
      <c r="Y75" s="65" t="s">
        <v>340</v>
      </c>
      <c r="Z75" s="74" t="s">
        <v>20</v>
      </c>
      <c r="AA75" s="82" t="s">
        <v>1</v>
      </c>
      <c r="AB75" s="86">
        <v>476</v>
      </c>
      <c r="AC75" s="82" t="s">
        <v>538</v>
      </c>
      <c r="AD75" s="107">
        <v>644.4</v>
      </c>
      <c r="AE75" s="82" t="s">
        <v>1</v>
      </c>
      <c r="AF75" s="107">
        <v>367.2</v>
      </c>
      <c r="AG75" s="93" t="s">
        <v>7</v>
      </c>
      <c r="AH75" s="123"/>
      <c r="AI75" s="132"/>
      <c r="AJ75" s="132"/>
      <c r="AK75" s="132"/>
      <c r="AL75" s="115"/>
      <c r="AM75" s="124">
        <v>4</v>
      </c>
      <c r="AN75" s="133">
        <v>2</v>
      </c>
      <c r="AO75" s="133">
        <v>5</v>
      </c>
      <c r="AP75" s="133">
        <v>5</v>
      </c>
      <c r="AQ75" s="116">
        <v>3</v>
      </c>
      <c r="AR75" s="124">
        <v>4</v>
      </c>
      <c r="AS75" s="133">
        <v>2</v>
      </c>
      <c r="AT75" s="133">
        <v>4</v>
      </c>
      <c r="AU75" s="133">
        <v>5</v>
      </c>
      <c r="AV75" s="116">
        <v>3</v>
      </c>
      <c r="AW75" s="20"/>
    </row>
    <row r="76" spans="1:49" ht="48" customHeight="1">
      <c r="A76" s="33" t="s">
        <v>191</v>
      </c>
      <c r="B76" s="28" t="s">
        <v>193</v>
      </c>
      <c r="C76" s="329" t="s">
        <v>97</v>
      </c>
      <c r="D76" s="43" t="s">
        <v>256</v>
      </c>
      <c r="E76" s="49" t="s">
        <v>310</v>
      </c>
      <c r="F76" s="57" t="s">
        <v>92</v>
      </c>
      <c r="G76" s="52" t="s">
        <v>335</v>
      </c>
      <c r="H76" s="62"/>
      <c r="I76" s="72"/>
      <c r="J76" s="72"/>
      <c r="K76" s="80"/>
      <c r="L76" s="84"/>
      <c r="M76" s="80"/>
      <c r="N76" s="84"/>
      <c r="O76" s="94"/>
      <c r="P76" s="65" t="s">
        <v>340</v>
      </c>
      <c r="Q76" s="75" t="s">
        <v>20</v>
      </c>
      <c r="R76" s="83" t="s">
        <v>20</v>
      </c>
      <c r="S76" s="86">
        <v>80</v>
      </c>
      <c r="T76" s="83" t="s">
        <v>1</v>
      </c>
      <c r="U76" s="41"/>
      <c r="V76" s="83" t="s">
        <v>1</v>
      </c>
      <c r="W76" s="86">
        <v>472.1</v>
      </c>
      <c r="X76" s="95" t="s">
        <v>7</v>
      </c>
      <c r="Y76" s="66" t="s">
        <v>339</v>
      </c>
      <c r="Z76" s="75" t="s">
        <v>6</v>
      </c>
      <c r="AA76" s="83" t="s">
        <v>6</v>
      </c>
      <c r="AB76" s="86">
        <v>561</v>
      </c>
      <c r="AC76" s="83" t="s">
        <v>1</v>
      </c>
      <c r="AD76" s="107">
        <v>535.1</v>
      </c>
      <c r="AE76" s="83" t="s">
        <v>1</v>
      </c>
      <c r="AF76" s="107">
        <v>348</v>
      </c>
      <c r="AG76" s="95" t="s">
        <v>7</v>
      </c>
      <c r="AH76" s="125"/>
      <c r="AI76" s="134"/>
      <c r="AJ76" s="134"/>
      <c r="AK76" s="134"/>
      <c r="AL76" s="117"/>
      <c r="AM76" s="126">
        <v>1</v>
      </c>
      <c r="AN76" s="135">
        <v>3</v>
      </c>
      <c r="AO76" s="135">
        <v>4</v>
      </c>
      <c r="AP76" s="135">
        <v>3</v>
      </c>
      <c r="AQ76" s="118">
        <v>2</v>
      </c>
      <c r="AR76" s="126">
        <v>1</v>
      </c>
      <c r="AS76" s="135">
        <v>3</v>
      </c>
      <c r="AT76" s="135">
        <v>3</v>
      </c>
      <c r="AU76" s="135">
        <v>3</v>
      </c>
      <c r="AV76" s="118">
        <v>2</v>
      </c>
      <c r="AW76" s="22"/>
    </row>
    <row r="77" spans="1:49" ht="48" customHeight="1">
      <c r="A77" s="34" t="s">
        <v>192</v>
      </c>
      <c r="B77" s="26" t="s">
        <v>186</v>
      </c>
      <c r="C77" s="330" t="s">
        <v>567</v>
      </c>
      <c r="D77" s="38" t="s">
        <v>568</v>
      </c>
      <c r="E77" s="47" t="s">
        <v>300</v>
      </c>
      <c r="F77" s="56" t="s">
        <v>554</v>
      </c>
      <c r="G77" s="52" t="s">
        <v>181</v>
      </c>
      <c r="H77" s="67"/>
      <c r="I77" s="76"/>
      <c r="J77" s="73"/>
      <c r="K77" s="81"/>
      <c r="L77" s="85"/>
      <c r="M77" s="81"/>
      <c r="N77" s="85"/>
      <c r="O77" s="61"/>
      <c r="P77" s="100"/>
      <c r="Q77" s="76"/>
      <c r="R77" s="81"/>
      <c r="S77" s="85"/>
      <c r="T77" s="81"/>
      <c r="U77" s="105"/>
      <c r="V77" s="81"/>
      <c r="W77" s="85"/>
      <c r="X77" s="61"/>
      <c r="Y77" s="66" t="s">
        <v>336</v>
      </c>
      <c r="Z77" s="104" t="s">
        <v>1</v>
      </c>
      <c r="AA77" s="82" t="s">
        <v>1</v>
      </c>
      <c r="AB77" s="86">
        <v>496</v>
      </c>
      <c r="AC77" s="82" t="s">
        <v>1</v>
      </c>
      <c r="AD77" s="107">
        <v>547.4</v>
      </c>
      <c r="AE77" s="82" t="s">
        <v>1</v>
      </c>
      <c r="AF77" s="86">
        <v>476.2</v>
      </c>
      <c r="AG77" s="182" t="s">
        <v>7</v>
      </c>
      <c r="AH77" s="127"/>
      <c r="AI77" s="136"/>
      <c r="AJ77" s="136"/>
      <c r="AK77" s="136"/>
      <c r="AL77" s="119"/>
      <c r="AM77" s="127"/>
      <c r="AN77" s="136"/>
      <c r="AO77" s="136"/>
      <c r="AP77" s="136"/>
      <c r="AQ77" s="119"/>
      <c r="AR77" s="124">
        <v>5</v>
      </c>
      <c r="AS77" s="133">
        <v>5</v>
      </c>
      <c r="AT77" s="133">
        <v>5</v>
      </c>
      <c r="AU77" s="133">
        <v>5</v>
      </c>
      <c r="AV77" s="116">
        <v>4</v>
      </c>
      <c r="AW77" s="20"/>
    </row>
    <row r="78" spans="1:49" ht="48" customHeight="1">
      <c r="A78" s="34" t="s">
        <v>192</v>
      </c>
      <c r="B78" s="26" t="s">
        <v>186</v>
      </c>
      <c r="C78" s="330" t="s">
        <v>570</v>
      </c>
      <c r="D78" s="38" t="s">
        <v>569</v>
      </c>
      <c r="E78" s="47" t="s">
        <v>300</v>
      </c>
      <c r="F78" s="56" t="s">
        <v>554</v>
      </c>
      <c r="G78" s="52" t="s">
        <v>181</v>
      </c>
      <c r="H78" s="67"/>
      <c r="I78" s="76"/>
      <c r="J78" s="73"/>
      <c r="K78" s="81"/>
      <c r="L78" s="85"/>
      <c r="M78" s="81"/>
      <c r="N78" s="85"/>
      <c r="O78" s="61"/>
      <c r="P78" s="100"/>
      <c r="Q78" s="76"/>
      <c r="R78" s="81"/>
      <c r="S78" s="85"/>
      <c r="T78" s="81"/>
      <c r="U78" s="105"/>
      <c r="V78" s="81"/>
      <c r="W78" s="85"/>
      <c r="X78" s="61"/>
      <c r="Y78" s="66" t="s">
        <v>336</v>
      </c>
      <c r="Z78" s="104" t="s">
        <v>1</v>
      </c>
      <c r="AA78" s="82" t="s">
        <v>1</v>
      </c>
      <c r="AB78" s="86">
        <v>437</v>
      </c>
      <c r="AC78" s="82" t="s">
        <v>1</v>
      </c>
      <c r="AD78" s="107">
        <v>501</v>
      </c>
      <c r="AE78" s="82" t="s">
        <v>1</v>
      </c>
      <c r="AF78" s="86">
        <v>332.5</v>
      </c>
      <c r="AG78" s="182" t="s">
        <v>7</v>
      </c>
      <c r="AH78" s="127"/>
      <c r="AI78" s="136"/>
      <c r="AJ78" s="136"/>
      <c r="AK78" s="136"/>
      <c r="AL78" s="119"/>
      <c r="AM78" s="127"/>
      <c r="AN78" s="136"/>
      <c r="AO78" s="136"/>
      <c r="AP78" s="136"/>
      <c r="AQ78" s="119"/>
      <c r="AR78" s="124">
        <v>5</v>
      </c>
      <c r="AS78" s="133">
        <v>4</v>
      </c>
      <c r="AT78" s="133">
        <v>5</v>
      </c>
      <c r="AU78" s="133">
        <v>5</v>
      </c>
      <c r="AV78" s="116">
        <v>4</v>
      </c>
      <c r="AW78" s="20"/>
    </row>
    <row r="79" spans="1:49" ht="48" customHeight="1">
      <c r="A79" s="34" t="s">
        <v>192</v>
      </c>
      <c r="B79" s="26" t="s">
        <v>186</v>
      </c>
      <c r="C79" s="330" t="s">
        <v>531</v>
      </c>
      <c r="D79" s="38" t="s">
        <v>532</v>
      </c>
      <c r="E79" s="47" t="s">
        <v>298</v>
      </c>
      <c r="F79" s="56" t="s">
        <v>524</v>
      </c>
      <c r="G79" s="52" t="s">
        <v>181</v>
      </c>
      <c r="H79" s="67"/>
      <c r="I79" s="76"/>
      <c r="J79" s="73"/>
      <c r="K79" s="81"/>
      <c r="L79" s="85"/>
      <c r="M79" s="81"/>
      <c r="N79" s="85"/>
      <c r="O79" s="61"/>
      <c r="P79" s="100"/>
      <c r="Q79" s="76"/>
      <c r="R79" s="81"/>
      <c r="S79" s="85"/>
      <c r="T79" s="81"/>
      <c r="U79" s="105"/>
      <c r="V79" s="81"/>
      <c r="W79" s="85"/>
      <c r="X79" s="61"/>
      <c r="Y79" s="66" t="s">
        <v>336</v>
      </c>
      <c r="Z79" s="104" t="s">
        <v>1</v>
      </c>
      <c r="AA79" s="82" t="s">
        <v>1</v>
      </c>
      <c r="AB79" s="86">
        <v>455</v>
      </c>
      <c r="AC79" s="82" t="s">
        <v>1</v>
      </c>
      <c r="AD79" s="107">
        <v>522.4</v>
      </c>
      <c r="AE79" s="82" t="s">
        <v>1</v>
      </c>
      <c r="AF79" s="86">
        <v>300.60000000000002</v>
      </c>
      <c r="AG79" s="182" t="s">
        <v>7</v>
      </c>
      <c r="AH79" s="127"/>
      <c r="AI79" s="136"/>
      <c r="AJ79" s="136"/>
      <c r="AK79" s="136"/>
      <c r="AL79" s="119"/>
      <c r="AM79" s="127"/>
      <c r="AN79" s="136"/>
      <c r="AO79" s="136"/>
      <c r="AP79" s="136"/>
      <c r="AQ79" s="119"/>
      <c r="AR79" s="124">
        <v>4</v>
      </c>
      <c r="AS79" s="133">
        <v>2</v>
      </c>
      <c r="AT79" s="133">
        <v>4</v>
      </c>
      <c r="AU79" s="133">
        <v>5</v>
      </c>
      <c r="AV79" s="116">
        <v>4</v>
      </c>
      <c r="AW79" s="20"/>
    </row>
    <row r="80" spans="1:49" ht="48" customHeight="1">
      <c r="A80" s="34" t="s">
        <v>192</v>
      </c>
      <c r="B80" s="27" t="s">
        <v>186</v>
      </c>
      <c r="C80" s="328" t="s">
        <v>110</v>
      </c>
      <c r="D80" s="38" t="s">
        <v>522</v>
      </c>
      <c r="E80" s="47" t="s">
        <v>300</v>
      </c>
      <c r="F80" s="58" t="s">
        <v>183</v>
      </c>
      <c r="G80" s="54" t="s">
        <v>181</v>
      </c>
      <c r="H80" s="63"/>
      <c r="I80" s="73"/>
      <c r="J80" s="73"/>
      <c r="K80" s="81"/>
      <c r="L80" s="85"/>
      <c r="M80" s="81"/>
      <c r="N80" s="85"/>
      <c r="O80" s="92"/>
      <c r="P80" s="63"/>
      <c r="Q80" s="73"/>
      <c r="R80" s="81"/>
      <c r="S80" s="85"/>
      <c r="T80" s="81"/>
      <c r="U80" s="105"/>
      <c r="V80" s="81"/>
      <c r="W80" s="85"/>
      <c r="X80" s="92"/>
      <c r="Y80" s="99" t="s">
        <v>336</v>
      </c>
      <c r="Z80" s="74" t="s">
        <v>1</v>
      </c>
      <c r="AA80" s="82" t="s">
        <v>1</v>
      </c>
      <c r="AB80" s="86">
        <v>467</v>
      </c>
      <c r="AC80" s="82" t="s">
        <v>1</v>
      </c>
      <c r="AD80" s="107">
        <v>595.4</v>
      </c>
      <c r="AE80" s="82" t="s">
        <v>1</v>
      </c>
      <c r="AF80" s="107">
        <v>458</v>
      </c>
      <c r="AG80" s="93" t="s">
        <v>7</v>
      </c>
      <c r="AH80" s="123"/>
      <c r="AI80" s="132"/>
      <c r="AJ80" s="132"/>
      <c r="AK80" s="132"/>
      <c r="AL80" s="115"/>
      <c r="AM80" s="123"/>
      <c r="AN80" s="132"/>
      <c r="AO80" s="132"/>
      <c r="AP80" s="132"/>
      <c r="AQ80" s="115"/>
      <c r="AR80" s="124">
        <v>5</v>
      </c>
      <c r="AS80" s="133">
        <v>4</v>
      </c>
      <c r="AT80" s="133">
        <v>5</v>
      </c>
      <c r="AU80" s="133">
        <v>5</v>
      </c>
      <c r="AV80" s="116">
        <v>4</v>
      </c>
      <c r="AW80" s="20"/>
    </row>
    <row r="81" spans="1:49" ht="48" customHeight="1">
      <c r="A81" s="34" t="s">
        <v>192</v>
      </c>
      <c r="B81" s="27" t="s">
        <v>186</v>
      </c>
      <c r="C81" s="328" t="s">
        <v>177</v>
      </c>
      <c r="D81" s="38" t="s">
        <v>250</v>
      </c>
      <c r="E81" s="47" t="s">
        <v>301</v>
      </c>
      <c r="F81" s="58" t="s">
        <v>178</v>
      </c>
      <c r="G81" s="52" t="s">
        <v>335</v>
      </c>
      <c r="H81" s="63"/>
      <c r="I81" s="73"/>
      <c r="J81" s="73"/>
      <c r="K81" s="81"/>
      <c r="L81" s="85"/>
      <c r="M81" s="81"/>
      <c r="N81" s="85"/>
      <c r="O81" s="92"/>
      <c r="P81" s="63"/>
      <c r="Q81" s="73"/>
      <c r="R81" s="81"/>
      <c r="S81" s="85"/>
      <c r="T81" s="81"/>
      <c r="U81" s="105"/>
      <c r="V81" s="81"/>
      <c r="W81" s="85"/>
      <c r="X81" s="92"/>
      <c r="Y81" s="66" t="s">
        <v>336</v>
      </c>
      <c r="Z81" s="74" t="s">
        <v>1</v>
      </c>
      <c r="AA81" s="82" t="s">
        <v>1</v>
      </c>
      <c r="AB81" s="86">
        <v>422</v>
      </c>
      <c r="AC81" s="82" t="s">
        <v>1</v>
      </c>
      <c r="AD81" s="107">
        <v>635.1</v>
      </c>
      <c r="AE81" s="82" t="s">
        <v>1</v>
      </c>
      <c r="AF81" s="86">
        <v>411.1</v>
      </c>
      <c r="AG81" s="95" t="s">
        <v>7</v>
      </c>
      <c r="AH81" s="123"/>
      <c r="AI81" s="132"/>
      <c r="AJ81" s="132"/>
      <c r="AK81" s="132"/>
      <c r="AL81" s="115"/>
      <c r="AM81" s="123"/>
      <c r="AN81" s="132"/>
      <c r="AO81" s="132"/>
      <c r="AP81" s="132"/>
      <c r="AQ81" s="115"/>
      <c r="AR81" s="124">
        <v>5</v>
      </c>
      <c r="AS81" s="133">
        <v>2</v>
      </c>
      <c r="AT81" s="133">
        <v>5</v>
      </c>
      <c r="AU81" s="133">
        <v>5</v>
      </c>
      <c r="AV81" s="116">
        <v>3</v>
      </c>
      <c r="AW81" s="20"/>
    </row>
    <row r="82" spans="1:49" ht="48" customHeight="1">
      <c r="A82" s="34" t="s">
        <v>192</v>
      </c>
      <c r="B82" s="27" t="s">
        <v>186</v>
      </c>
      <c r="C82" s="328" t="s">
        <v>110</v>
      </c>
      <c r="D82" s="38" t="s">
        <v>251</v>
      </c>
      <c r="E82" s="47" t="s">
        <v>302</v>
      </c>
      <c r="F82" s="58" t="s">
        <v>108</v>
      </c>
      <c r="G82" s="52" t="s">
        <v>335</v>
      </c>
      <c r="H82" s="63"/>
      <c r="I82" s="73"/>
      <c r="J82" s="73"/>
      <c r="K82" s="81"/>
      <c r="L82" s="85"/>
      <c r="M82" s="81"/>
      <c r="N82" s="85"/>
      <c r="O82" s="92"/>
      <c r="P82" s="63"/>
      <c r="Q82" s="73"/>
      <c r="R82" s="81"/>
      <c r="S82" s="85"/>
      <c r="T82" s="81"/>
      <c r="U82" s="105"/>
      <c r="V82" s="81"/>
      <c r="W82" s="85"/>
      <c r="X82" s="92"/>
      <c r="Y82" s="66" t="s">
        <v>336</v>
      </c>
      <c r="Z82" s="74" t="s">
        <v>1</v>
      </c>
      <c r="AA82" s="82" t="s">
        <v>1</v>
      </c>
      <c r="AB82" s="86">
        <v>465</v>
      </c>
      <c r="AC82" s="82" t="s">
        <v>1</v>
      </c>
      <c r="AD82" s="107">
        <v>516.5</v>
      </c>
      <c r="AE82" s="82" t="s">
        <v>1</v>
      </c>
      <c r="AF82" s="86">
        <v>361.2</v>
      </c>
      <c r="AG82" s="95" t="s">
        <v>7</v>
      </c>
      <c r="AH82" s="123"/>
      <c r="AI82" s="132"/>
      <c r="AJ82" s="132"/>
      <c r="AK82" s="132"/>
      <c r="AL82" s="115"/>
      <c r="AM82" s="123"/>
      <c r="AN82" s="132"/>
      <c r="AO82" s="132"/>
      <c r="AP82" s="132"/>
      <c r="AQ82" s="115"/>
      <c r="AR82" s="124">
        <v>5</v>
      </c>
      <c r="AS82" s="133">
        <v>5</v>
      </c>
      <c r="AT82" s="133">
        <v>5</v>
      </c>
      <c r="AU82" s="133">
        <v>5</v>
      </c>
      <c r="AV82" s="116">
        <v>4</v>
      </c>
      <c r="AW82" s="20"/>
    </row>
    <row r="83" spans="1:49" ht="48" customHeight="1">
      <c r="A83" s="34" t="s">
        <v>192</v>
      </c>
      <c r="B83" s="28" t="s">
        <v>193</v>
      </c>
      <c r="C83" s="328" t="s">
        <v>73</v>
      </c>
      <c r="D83" s="38" t="s">
        <v>288</v>
      </c>
      <c r="E83" s="47" t="s">
        <v>299</v>
      </c>
      <c r="F83" s="56" t="s">
        <v>67</v>
      </c>
      <c r="G83" s="52" t="s">
        <v>335</v>
      </c>
      <c r="H83" s="63"/>
      <c r="I83" s="73"/>
      <c r="J83" s="73"/>
      <c r="K83" s="81"/>
      <c r="L83" s="85"/>
      <c r="M83" s="81"/>
      <c r="N83" s="85"/>
      <c r="O83" s="92"/>
      <c r="P83" s="63"/>
      <c r="Q83" s="73"/>
      <c r="R83" s="81"/>
      <c r="S83" s="85"/>
      <c r="T83" s="81"/>
      <c r="U83" s="105"/>
      <c r="V83" s="81"/>
      <c r="W83" s="85"/>
      <c r="X83" s="92"/>
      <c r="Y83" s="66" t="s">
        <v>336</v>
      </c>
      <c r="Z83" s="74" t="s">
        <v>1</v>
      </c>
      <c r="AA83" s="82" t="s">
        <v>1</v>
      </c>
      <c r="AB83" s="86">
        <v>509</v>
      </c>
      <c r="AC83" s="82" t="s">
        <v>1</v>
      </c>
      <c r="AD83" s="86">
        <v>629.29999999999995</v>
      </c>
      <c r="AE83" s="82" t="s">
        <v>1</v>
      </c>
      <c r="AF83" s="86">
        <v>462.6</v>
      </c>
      <c r="AG83" s="95" t="s">
        <v>7</v>
      </c>
      <c r="AH83" s="127"/>
      <c r="AI83" s="136"/>
      <c r="AJ83" s="136"/>
      <c r="AK83" s="136"/>
      <c r="AL83" s="119"/>
      <c r="AM83" s="127"/>
      <c r="AN83" s="136"/>
      <c r="AO83" s="136"/>
      <c r="AP83" s="136"/>
      <c r="AQ83" s="119"/>
      <c r="AR83" s="143">
        <v>4.7</v>
      </c>
      <c r="AS83" s="145">
        <v>3.5</v>
      </c>
      <c r="AT83" s="145">
        <v>5</v>
      </c>
      <c r="AU83" s="145">
        <v>3.5</v>
      </c>
      <c r="AV83" s="141">
        <v>4.5999999999999996</v>
      </c>
      <c r="AW83" s="20"/>
    </row>
    <row r="84" spans="1:49" ht="48" customHeight="1">
      <c r="A84" s="34" t="s">
        <v>589</v>
      </c>
      <c r="B84" s="26" t="s">
        <v>186</v>
      </c>
      <c r="C84" s="328" t="s">
        <v>590</v>
      </c>
      <c r="D84" s="38" t="s">
        <v>591</v>
      </c>
      <c r="E84" s="47" t="s">
        <v>548</v>
      </c>
      <c r="F84" s="56" t="s">
        <v>578</v>
      </c>
      <c r="G84" s="52" t="s">
        <v>579</v>
      </c>
      <c r="H84" s="63"/>
      <c r="I84" s="73"/>
      <c r="J84" s="73"/>
      <c r="K84" s="81"/>
      <c r="L84" s="85"/>
      <c r="M84" s="81"/>
      <c r="N84" s="85"/>
      <c r="O84" s="92"/>
      <c r="P84" s="63"/>
      <c r="Q84" s="73"/>
      <c r="R84" s="81"/>
      <c r="S84" s="85"/>
      <c r="T84" s="81"/>
      <c r="U84" s="105"/>
      <c r="V84" s="81"/>
      <c r="W84" s="85"/>
      <c r="X84" s="92"/>
      <c r="Y84" s="66" t="s">
        <v>582</v>
      </c>
      <c r="Z84" s="74" t="s">
        <v>1</v>
      </c>
      <c r="AA84" s="82" t="s">
        <v>583</v>
      </c>
      <c r="AB84" s="86">
        <v>559</v>
      </c>
      <c r="AC84" s="82" t="s">
        <v>581</v>
      </c>
      <c r="AD84" s="86">
        <v>633.79999999999995</v>
      </c>
      <c r="AE84" s="82" t="s">
        <v>1</v>
      </c>
      <c r="AF84" s="86">
        <v>322.39999999999998</v>
      </c>
      <c r="AG84" s="93" t="s">
        <v>584</v>
      </c>
      <c r="AH84" s="127"/>
      <c r="AI84" s="136"/>
      <c r="AJ84" s="136"/>
      <c r="AK84" s="136"/>
      <c r="AL84" s="119"/>
      <c r="AM84" s="127"/>
      <c r="AN84" s="136"/>
      <c r="AO84" s="136"/>
      <c r="AP84" s="136"/>
      <c r="AQ84" s="119"/>
      <c r="AR84" s="124">
        <v>4</v>
      </c>
      <c r="AS84" s="133">
        <v>3</v>
      </c>
      <c r="AT84" s="133">
        <v>4</v>
      </c>
      <c r="AU84" s="133">
        <v>5</v>
      </c>
      <c r="AV84" s="116">
        <v>2</v>
      </c>
      <c r="AW84" s="20"/>
    </row>
    <row r="85" spans="1:49" ht="48" customHeight="1">
      <c r="A85" s="34" t="s">
        <v>192</v>
      </c>
      <c r="B85" s="26" t="s">
        <v>186</v>
      </c>
      <c r="C85" s="329" t="s">
        <v>549</v>
      </c>
      <c r="D85" s="36" t="s">
        <v>547</v>
      </c>
      <c r="E85" s="323" t="s">
        <v>548</v>
      </c>
      <c r="F85" s="56" t="s">
        <v>533</v>
      </c>
      <c r="G85" s="52" t="s">
        <v>181</v>
      </c>
      <c r="H85" s="63"/>
      <c r="I85" s="73"/>
      <c r="J85" s="73"/>
      <c r="K85" s="81"/>
      <c r="L85" s="85"/>
      <c r="M85" s="81"/>
      <c r="N85" s="85"/>
      <c r="O85" s="59"/>
      <c r="P85" s="63"/>
      <c r="Q85" s="73"/>
      <c r="R85" s="81"/>
      <c r="S85" s="85"/>
      <c r="T85" s="81"/>
      <c r="U85" s="105"/>
      <c r="V85" s="81"/>
      <c r="W85" s="85"/>
      <c r="X85" s="59"/>
      <c r="Y85" s="65" t="s">
        <v>537</v>
      </c>
      <c r="Z85" s="74" t="s">
        <v>1</v>
      </c>
      <c r="AA85" s="82" t="s">
        <v>538</v>
      </c>
      <c r="AB85" s="86">
        <v>589</v>
      </c>
      <c r="AC85" s="82" t="s">
        <v>1</v>
      </c>
      <c r="AD85" s="107">
        <v>466.5</v>
      </c>
      <c r="AE85" s="82" t="s">
        <v>1</v>
      </c>
      <c r="AF85" s="107">
        <v>274.2</v>
      </c>
      <c r="AG85" s="93" t="s">
        <v>7</v>
      </c>
      <c r="AH85" s="123"/>
      <c r="AI85" s="132"/>
      <c r="AJ85" s="132"/>
      <c r="AK85" s="132"/>
      <c r="AL85" s="115"/>
      <c r="AM85" s="123"/>
      <c r="AN85" s="132"/>
      <c r="AO85" s="132"/>
      <c r="AP85" s="132"/>
      <c r="AQ85" s="115"/>
      <c r="AR85" s="124">
        <v>4</v>
      </c>
      <c r="AS85" s="133">
        <v>3</v>
      </c>
      <c r="AT85" s="133">
        <v>3</v>
      </c>
      <c r="AU85" s="133">
        <v>5</v>
      </c>
      <c r="AV85" s="116">
        <v>1</v>
      </c>
      <c r="AW85" s="23" t="s">
        <v>550</v>
      </c>
    </row>
    <row r="86" spans="1:49" ht="48" customHeight="1">
      <c r="A86" s="34" t="s">
        <v>192</v>
      </c>
      <c r="B86" s="25" t="s">
        <v>345</v>
      </c>
      <c r="C86" s="328" t="s">
        <v>518</v>
      </c>
      <c r="D86" s="36" t="s">
        <v>510</v>
      </c>
      <c r="E86" s="323" t="s">
        <v>509</v>
      </c>
      <c r="F86" s="56" t="s">
        <v>504</v>
      </c>
      <c r="G86" s="52" t="s">
        <v>335</v>
      </c>
      <c r="H86" s="63"/>
      <c r="I86" s="73"/>
      <c r="J86" s="73"/>
      <c r="K86" s="81"/>
      <c r="L86" s="85"/>
      <c r="M86" s="81"/>
      <c r="N86" s="85"/>
      <c r="O86" s="59"/>
      <c r="P86" s="63"/>
      <c r="Q86" s="73"/>
      <c r="R86" s="81"/>
      <c r="S86" s="85"/>
      <c r="T86" s="81"/>
      <c r="U86" s="105"/>
      <c r="V86" s="81"/>
      <c r="W86" s="85"/>
      <c r="X86" s="59"/>
      <c r="Y86" s="65" t="s">
        <v>337</v>
      </c>
      <c r="Z86" s="74" t="s">
        <v>6</v>
      </c>
      <c r="AA86" s="82" t="s">
        <v>1</v>
      </c>
      <c r="AB86" s="86">
        <v>473</v>
      </c>
      <c r="AC86" s="82" t="s">
        <v>1</v>
      </c>
      <c r="AD86" s="107">
        <v>555.9</v>
      </c>
      <c r="AE86" s="82" t="s">
        <v>1</v>
      </c>
      <c r="AF86" s="107">
        <v>335.5</v>
      </c>
      <c r="AG86" s="93" t="s">
        <v>7</v>
      </c>
      <c r="AH86" s="123"/>
      <c r="AI86" s="132"/>
      <c r="AJ86" s="132"/>
      <c r="AK86" s="132"/>
      <c r="AL86" s="115"/>
      <c r="AM86" s="123"/>
      <c r="AN86" s="132"/>
      <c r="AO86" s="132"/>
      <c r="AP86" s="132"/>
      <c r="AQ86" s="115"/>
      <c r="AR86" s="124">
        <v>4</v>
      </c>
      <c r="AS86" s="133">
        <v>0</v>
      </c>
      <c r="AT86" s="133">
        <v>4</v>
      </c>
      <c r="AU86" s="133">
        <v>5</v>
      </c>
      <c r="AV86" s="116">
        <v>3</v>
      </c>
      <c r="AW86" s="23" t="s">
        <v>236</v>
      </c>
    </row>
    <row r="87" spans="1:49" ht="48" customHeight="1">
      <c r="A87" s="34" t="s">
        <v>192</v>
      </c>
      <c r="B87" s="25" t="s">
        <v>345</v>
      </c>
      <c r="C87" s="328" t="s">
        <v>515</v>
      </c>
      <c r="D87" s="36" t="s">
        <v>506</v>
      </c>
      <c r="E87" s="45" t="s">
        <v>305</v>
      </c>
      <c r="F87" s="56" t="s">
        <v>504</v>
      </c>
      <c r="G87" s="52" t="s">
        <v>335</v>
      </c>
      <c r="H87" s="63"/>
      <c r="I87" s="73"/>
      <c r="J87" s="73"/>
      <c r="K87" s="81"/>
      <c r="L87" s="85"/>
      <c r="M87" s="81"/>
      <c r="N87" s="85"/>
      <c r="O87" s="59"/>
      <c r="P87" s="63"/>
      <c r="Q87" s="73"/>
      <c r="R87" s="81"/>
      <c r="S87" s="85"/>
      <c r="T87" s="81"/>
      <c r="U87" s="105"/>
      <c r="V87" s="81"/>
      <c r="W87" s="85"/>
      <c r="X87" s="59"/>
      <c r="Y87" s="64" t="s">
        <v>337</v>
      </c>
      <c r="Z87" s="74" t="s">
        <v>6</v>
      </c>
      <c r="AA87" s="82" t="s">
        <v>1</v>
      </c>
      <c r="AB87" s="86">
        <v>439</v>
      </c>
      <c r="AC87" s="82" t="s">
        <v>1</v>
      </c>
      <c r="AD87" s="107">
        <v>620.79999999999995</v>
      </c>
      <c r="AE87" s="82" t="s">
        <v>1</v>
      </c>
      <c r="AF87" s="107">
        <v>453.2</v>
      </c>
      <c r="AG87" s="93" t="s">
        <v>7</v>
      </c>
      <c r="AH87" s="123"/>
      <c r="AI87" s="132"/>
      <c r="AJ87" s="132"/>
      <c r="AK87" s="132"/>
      <c r="AL87" s="115"/>
      <c r="AM87" s="123"/>
      <c r="AN87" s="132"/>
      <c r="AO87" s="132"/>
      <c r="AP87" s="132"/>
      <c r="AQ87" s="115"/>
      <c r="AR87" s="124">
        <v>4</v>
      </c>
      <c r="AS87" s="133">
        <v>1</v>
      </c>
      <c r="AT87" s="133">
        <v>4</v>
      </c>
      <c r="AU87" s="133">
        <v>5</v>
      </c>
      <c r="AV87" s="116">
        <v>3</v>
      </c>
      <c r="AW87" s="23" t="s">
        <v>236</v>
      </c>
    </row>
    <row r="88" spans="1:49" ht="48" customHeight="1">
      <c r="A88" s="34" t="s">
        <v>192</v>
      </c>
      <c r="B88" s="28" t="s">
        <v>193</v>
      </c>
      <c r="C88" s="328" t="s">
        <v>89</v>
      </c>
      <c r="D88" s="38" t="s">
        <v>285</v>
      </c>
      <c r="E88" s="47" t="s">
        <v>303</v>
      </c>
      <c r="F88" s="56" t="s">
        <v>88</v>
      </c>
      <c r="G88" s="52" t="s">
        <v>335</v>
      </c>
      <c r="H88" s="63"/>
      <c r="I88" s="73"/>
      <c r="J88" s="73"/>
      <c r="K88" s="81"/>
      <c r="L88" s="85"/>
      <c r="M88" s="81"/>
      <c r="N88" s="85"/>
      <c r="O88" s="92"/>
      <c r="P88" s="63"/>
      <c r="Q88" s="73"/>
      <c r="R88" s="81"/>
      <c r="S88" s="85"/>
      <c r="T88" s="81"/>
      <c r="U88" s="105"/>
      <c r="V88" s="81"/>
      <c r="W88" s="85"/>
      <c r="X88" s="92"/>
      <c r="Y88" s="64" t="s">
        <v>337</v>
      </c>
      <c r="Z88" s="74" t="s">
        <v>1</v>
      </c>
      <c r="AA88" s="82" t="s">
        <v>6</v>
      </c>
      <c r="AB88" s="86">
        <v>575</v>
      </c>
      <c r="AC88" s="82" t="s">
        <v>1</v>
      </c>
      <c r="AD88" s="86">
        <v>616.9</v>
      </c>
      <c r="AE88" s="82" t="s">
        <v>1</v>
      </c>
      <c r="AF88" s="86">
        <v>580.79999999999995</v>
      </c>
      <c r="AG88" s="93" t="s">
        <v>7</v>
      </c>
      <c r="AH88" s="123"/>
      <c r="AI88" s="132"/>
      <c r="AJ88" s="132"/>
      <c r="AK88" s="132"/>
      <c r="AL88" s="115"/>
      <c r="AM88" s="123"/>
      <c r="AN88" s="132"/>
      <c r="AO88" s="132"/>
      <c r="AP88" s="132"/>
      <c r="AQ88" s="115"/>
      <c r="AR88" s="124">
        <v>4</v>
      </c>
      <c r="AS88" s="133">
        <v>2</v>
      </c>
      <c r="AT88" s="133">
        <v>3</v>
      </c>
      <c r="AU88" s="133">
        <v>2</v>
      </c>
      <c r="AV88" s="116">
        <v>3</v>
      </c>
      <c r="AW88" s="20"/>
    </row>
    <row r="89" spans="1:49" ht="48" customHeight="1">
      <c r="A89" s="34" t="s">
        <v>192</v>
      </c>
      <c r="B89" s="28" t="s">
        <v>193</v>
      </c>
      <c r="C89" s="328" t="s">
        <v>90</v>
      </c>
      <c r="D89" s="39" t="s">
        <v>286</v>
      </c>
      <c r="E89" s="47" t="s">
        <v>316</v>
      </c>
      <c r="F89" s="56" t="s">
        <v>88</v>
      </c>
      <c r="G89" s="52" t="s">
        <v>335</v>
      </c>
      <c r="H89" s="63"/>
      <c r="I89" s="73"/>
      <c r="J89" s="73"/>
      <c r="K89" s="81"/>
      <c r="L89" s="85"/>
      <c r="M89" s="81"/>
      <c r="N89" s="85"/>
      <c r="O89" s="92"/>
      <c r="P89" s="63"/>
      <c r="Q89" s="73"/>
      <c r="R89" s="81"/>
      <c r="S89" s="85"/>
      <c r="T89" s="81"/>
      <c r="U89" s="105"/>
      <c r="V89" s="81"/>
      <c r="W89" s="85"/>
      <c r="X89" s="92"/>
      <c r="Y89" s="65" t="s">
        <v>337</v>
      </c>
      <c r="Z89" s="74" t="s">
        <v>1</v>
      </c>
      <c r="AA89" s="82" t="s">
        <v>6</v>
      </c>
      <c r="AB89" s="86">
        <v>584</v>
      </c>
      <c r="AC89" s="82" t="s">
        <v>1</v>
      </c>
      <c r="AD89" s="86">
        <v>633.6</v>
      </c>
      <c r="AE89" s="82" t="s">
        <v>1</v>
      </c>
      <c r="AF89" s="107">
        <v>484</v>
      </c>
      <c r="AG89" s="93" t="s">
        <v>7</v>
      </c>
      <c r="AH89" s="123"/>
      <c r="AI89" s="132"/>
      <c r="AJ89" s="132"/>
      <c r="AK89" s="132"/>
      <c r="AL89" s="115"/>
      <c r="AM89" s="123"/>
      <c r="AN89" s="132"/>
      <c r="AO89" s="132"/>
      <c r="AP89" s="132"/>
      <c r="AQ89" s="115"/>
      <c r="AR89" s="124">
        <v>2</v>
      </c>
      <c r="AS89" s="133">
        <v>1</v>
      </c>
      <c r="AT89" s="133">
        <v>3</v>
      </c>
      <c r="AU89" s="133">
        <v>2</v>
      </c>
      <c r="AV89" s="116">
        <v>3</v>
      </c>
      <c r="AW89" s="20"/>
    </row>
    <row r="90" spans="1:49" ht="48" customHeight="1">
      <c r="A90" s="34" t="s">
        <v>192</v>
      </c>
      <c r="B90" s="28" t="s">
        <v>193</v>
      </c>
      <c r="C90" s="328" t="s">
        <v>71</v>
      </c>
      <c r="D90" s="39" t="s">
        <v>333</v>
      </c>
      <c r="E90" s="47" t="s">
        <v>297</v>
      </c>
      <c r="F90" s="56" t="s">
        <v>67</v>
      </c>
      <c r="G90" s="52" t="s">
        <v>335</v>
      </c>
      <c r="H90" s="63"/>
      <c r="I90" s="73"/>
      <c r="J90" s="73"/>
      <c r="K90" s="81"/>
      <c r="L90" s="85"/>
      <c r="M90" s="81"/>
      <c r="N90" s="85"/>
      <c r="O90" s="92"/>
      <c r="P90" s="63"/>
      <c r="Q90" s="73"/>
      <c r="R90" s="81"/>
      <c r="S90" s="85"/>
      <c r="T90" s="81"/>
      <c r="U90" s="105"/>
      <c r="V90" s="81"/>
      <c r="W90" s="85"/>
      <c r="X90" s="92"/>
      <c r="Y90" s="65" t="s">
        <v>337</v>
      </c>
      <c r="Z90" s="74" t="s">
        <v>1</v>
      </c>
      <c r="AA90" s="82" t="s">
        <v>1</v>
      </c>
      <c r="AB90" s="86">
        <v>506</v>
      </c>
      <c r="AC90" s="82" t="s">
        <v>6</v>
      </c>
      <c r="AD90" s="86">
        <v>690.4</v>
      </c>
      <c r="AE90" s="82" t="s">
        <v>1</v>
      </c>
      <c r="AF90" s="86">
        <v>417.6</v>
      </c>
      <c r="AG90" s="93" t="s">
        <v>7</v>
      </c>
      <c r="AH90" s="127"/>
      <c r="AI90" s="136"/>
      <c r="AJ90" s="136"/>
      <c r="AK90" s="136"/>
      <c r="AL90" s="119"/>
      <c r="AM90" s="127"/>
      <c r="AN90" s="136"/>
      <c r="AO90" s="136"/>
      <c r="AP90" s="136"/>
      <c r="AQ90" s="119"/>
      <c r="AR90" s="129">
        <v>4.3</v>
      </c>
      <c r="AS90" s="138">
        <v>4.2</v>
      </c>
      <c r="AT90" s="138">
        <v>4</v>
      </c>
      <c r="AU90" s="138">
        <v>3.8</v>
      </c>
      <c r="AV90" s="121">
        <v>4.4000000000000004</v>
      </c>
      <c r="AW90" s="20"/>
    </row>
    <row r="91" spans="1:49" ht="48" customHeight="1">
      <c r="A91" s="34" t="s">
        <v>192</v>
      </c>
      <c r="B91" s="28" t="s">
        <v>193</v>
      </c>
      <c r="C91" s="328" t="s">
        <v>72</v>
      </c>
      <c r="D91" s="38" t="s">
        <v>287</v>
      </c>
      <c r="E91" s="47" t="s">
        <v>311</v>
      </c>
      <c r="F91" s="56" t="s">
        <v>67</v>
      </c>
      <c r="G91" s="52" t="s">
        <v>335</v>
      </c>
      <c r="H91" s="63"/>
      <c r="I91" s="73"/>
      <c r="J91" s="73"/>
      <c r="K91" s="81"/>
      <c r="L91" s="85"/>
      <c r="M91" s="81"/>
      <c r="N91" s="85"/>
      <c r="O91" s="92"/>
      <c r="P91" s="63"/>
      <c r="Q91" s="73"/>
      <c r="R91" s="81"/>
      <c r="S91" s="85"/>
      <c r="T91" s="81"/>
      <c r="U91" s="105"/>
      <c r="V91" s="81"/>
      <c r="W91" s="85"/>
      <c r="X91" s="92"/>
      <c r="Y91" s="64" t="s">
        <v>337</v>
      </c>
      <c r="Z91" s="74" t="s">
        <v>1</v>
      </c>
      <c r="AA91" s="82" t="s">
        <v>6</v>
      </c>
      <c r="AB91" s="86">
        <v>568</v>
      </c>
      <c r="AC91" s="82" t="s">
        <v>1</v>
      </c>
      <c r="AD91" s="86">
        <v>548.5</v>
      </c>
      <c r="AE91" s="82" t="s">
        <v>1</v>
      </c>
      <c r="AF91" s="107">
        <v>458</v>
      </c>
      <c r="AG91" s="93" t="s">
        <v>7</v>
      </c>
      <c r="AH91" s="127"/>
      <c r="AI91" s="136"/>
      <c r="AJ91" s="136"/>
      <c r="AK91" s="136"/>
      <c r="AL91" s="119"/>
      <c r="AM91" s="127"/>
      <c r="AN91" s="136"/>
      <c r="AO91" s="136"/>
      <c r="AP91" s="136"/>
      <c r="AQ91" s="119"/>
      <c r="AR91" s="129">
        <v>2.8</v>
      </c>
      <c r="AS91" s="138">
        <v>3.8</v>
      </c>
      <c r="AT91" s="138">
        <v>3</v>
      </c>
      <c r="AU91" s="138">
        <v>3</v>
      </c>
      <c r="AV91" s="121">
        <v>3.4</v>
      </c>
      <c r="AW91" s="20"/>
    </row>
    <row r="92" spans="1:49" ht="48" customHeight="1">
      <c r="A92" s="34" t="s">
        <v>192</v>
      </c>
      <c r="B92" s="28" t="s">
        <v>193</v>
      </c>
      <c r="C92" s="332" t="s">
        <v>46</v>
      </c>
      <c r="D92" s="38" t="s">
        <v>294</v>
      </c>
      <c r="E92" s="47" t="s">
        <v>301</v>
      </c>
      <c r="F92" s="56" t="s">
        <v>55</v>
      </c>
      <c r="G92" s="52" t="s">
        <v>335</v>
      </c>
      <c r="H92" s="68"/>
      <c r="I92" s="76"/>
      <c r="J92" s="73"/>
      <c r="K92" s="81"/>
      <c r="L92" s="85"/>
      <c r="M92" s="81"/>
      <c r="N92" s="85"/>
      <c r="O92" s="96"/>
      <c r="P92" s="101"/>
      <c r="Q92" s="76"/>
      <c r="R92" s="81"/>
      <c r="S92" s="85"/>
      <c r="T92" s="81"/>
      <c r="U92" s="105"/>
      <c r="V92" s="81"/>
      <c r="W92" s="85"/>
      <c r="X92" s="96"/>
      <c r="Y92" s="65" t="s">
        <v>337</v>
      </c>
      <c r="Z92" s="103" t="s">
        <v>1</v>
      </c>
      <c r="AA92" s="82" t="s">
        <v>6</v>
      </c>
      <c r="AB92" s="86">
        <v>536</v>
      </c>
      <c r="AC92" s="82" t="s">
        <v>1</v>
      </c>
      <c r="AD92" s="86">
        <v>508.8</v>
      </c>
      <c r="AE92" s="82" t="s">
        <v>1</v>
      </c>
      <c r="AF92" s="86">
        <v>500.1</v>
      </c>
      <c r="AG92" s="112" t="s">
        <v>7</v>
      </c>
      <c r="AH92" s="127"/>
      <c r="AI92" s="136"/>
      <c r="AJ92" s="136"/>
      <c r="AK92" s="136"/>
      <c r="AL92" s="119"/>
      <c r="AM92" s="127"/>
      <c r="AN92" s="136"/>
      <c r="AO92" s="136"/>
      <c r="AP92" s="136"/>
      <c r="AQ92" s="119"/>
      <c r="AR92" s="129">
        <v>4.7</v>
      </c>
      <c r="AS92" s="138">
        <v>3.8</v>
      </c>
      <c r="AT92" s="138">
        <v>3.3</v>
      </c>
      <c r="AU92" s="138">
        <v>5</v>
      </c>
      <c r="AV92" s="121">
        <v>4.4000000000000004</v>
      </c>
      <c r="AW92" s="20"/>
    </row>
    <row r="93" spans="1:49" ht="48" customHeight="1">
      <c r="A93" s="34" t="s">
        <v>192</v>
      </c>
      <c r="B93" s="28" t="s">
        <v>193</v>
      </c>
      <c r="C93" s="332" t="s">
        <v>57</v>
      </c>
      <c r="D93" s="38" t="s">
        <v>293</v>
      </c>
      <c r="E93" s="47" t="s">
        <v>318</v>
      </c>
      <c r="F93" s="56" t="s">
        <v>55</v>
      </c>
      <c r="G93" s="52" t="s">
        <v>335</v>
      </c>
      <c r="H93" s="68"/>
      <c r="I93" s="76"/>
      <c r="J93" s="73"/>
      <c r="K93" s="81"/>
      <c r="L93" s="85"/>
      <c r="M93" s="81"/>
      <c r="N93" s="85"/>
      <c r="O93" s="96"/>
      <c r="P93" s="101"/>
      <c r="Q93" s="76"/>
      <c r="R93" s="81"/>
      <c r="S93" s="85"/>
      <c r="T93" s="81"/>
      <c r="U93" s="105"/>
      <c r="V93" s="81"/>
      <c r="W93" s="85"/>
      <c r="X93" s="96"/>
      <c r="Y93" s="64" t="s">
        <v>337</v>
      </c>
      <c r="Z93" s="103" t="s">
        <v>1</v>
      </c>
      <c r="AA93" s="82" t="s">
        <v>6</v>
      </c>
      <c r="AB93" s="86">
        <v>526</v>
      </c>
      <c r="AC93" s="82" t="s">
        <v>1</v>
      </c>
      <c r="AD93" s="86">
        <v>551.70000000000005</v>
      </c>
      <c r="AE93" s="82" t="s">
        <v>1</v>
      </c>
      <c r="AF93" s="86">
        <v>515.6</v>
      </c>
      <c r="AG93" s="112" t="s">
        <v>7</v>
      </c>
      <c r="AH93" s="127"/>
      <c r="AI93" s="136"/>
      <c r="AJ93" s="136"/>
      <c r="AK93" s="136"/>
      <c r="AL93" s="119"/>
      <c r="AM93" s="127"/>
      <c r="AN93" s="136"/>
      <c r="AO93" s="136"/>
      <c r="AP93" s="136"/>
      <c r="AQ93" s="119"/>
      <c r="AR93" s="129">
        <v>2.2999999999999998</v>
      </c>
      <c r="AS93" s="138">
        <v>2.5</v>
      </c>
      <c r="AT93" s="138">
        <v>3.3</v>
      </c>
      <c r="AU93" s="138">
        <v>4.8</v>
      </c>
      <c r="AV93" s="121">
        <v>4.5999999999999996</v>
      </c>
      <c r="AW93" s="20"/>
    </row>
    <row r="94" spans="1:49" ht="48" customHeight="1">
      <c r="A94" s="34" t="s">
        <v>192</v>
      </c>
      <c r="B94" s="28" t="s">
        <v>193</v>
      </c>
      <c r="C94" s="328" t="s">
        <v>516</v>
      </c>
      <c r="D94" s="38" t="s">
        <v>508</v>
      </c>
      <c r="E94" s="47" t="s">
        <v>305</v>
      </c>
      <c r="F94" s="58" t="s">
        <v>504</v>
      </c>
      <c r="G94" s="52" t="s">
        <v>335</v>
      </c>
      <c r="H94" s="63"/>
      <c r="I94" s="73"/>
      <c r="J94" s="73"/>
      <c r="K94" s="81"/>
      <c r="L94" s="85"/>
      <c r="M94" s="81"/>
      <c r="N94" s="85"/>
      <c r="O94" s="92"/>
      <c r="P94" s="63"/>
      <c r="Q94" s="73"/>
      <c r="R94" s="81"/>
      <c r="S94" s="85"/>
      <c r="T94" s="81"/>
      <c r="U94" s="105"/>
      <c r="V94" s="81"/>
      <c r="W94" s="85"/>
      <c r="X94" s="92"/>
      <c r="Y94" s="66" t="s">
        <v>339</v>
      </c>
      <c r="Z94" s="74" t="s">
        <v>6</v>
      </c>
      <c r="AA94" s="82" t="s">
        <v>6</v>
      </c>
      <c r="AB94" s="86">
        <v>538</v>
      </c>
      <c r="AC94" s="82" t="s">
        <v>6</v>
      </c>
      <c r="AD94" s="86">
        <v>660.7</v>
      </c>
      <c r="AE94" s="82" t="s">
        <v>1</v>
      </c>
      <c r="AF94" s="86">
        <v>492.4</v>
      </c>
      <c r="AG94" s="93" t="s">
        <v>7</v>
      </c>
      <c r="AH94" s="123"/>
      <c r="AI94" s="132"/>
      <c r="AJ94" s="132"/>
      <c r="AK94" s="132"/>
      <c r="AL94" s="115"/>
      <c r="AM94" s="123"/>
      <c r="AN94" s="132"/>
      <c r="AO94" s="132"/>
      <c r="AP94" s="132"/>
      <c r="AQ94" s="115"/>
      <c r="AR94" s="124">
        <v>4</v>
      </c>
      <c r="AS94" s="133">
        <v>3</v>
      </c>
      <c r="AT94" s="133">
        <v>4</v>
      </c>
      <c r="AU94" s="133">
        <v>3</v>
      </c>
      <c r="AV94" s="116">
        <v>3</v>
      </c>
      <c r="AW94" s="20"/>
    </row>
    <row r="95" spans="1:49" ht="48" customHeight="1">
      <c r="A95" s="34" t="s">
        <v>192</v>
      </c>
      <c r="B95" s="25" t="s">
        <v>345</v>
      </c>
      <c r="C95" s="328" t="s">
        <v>184</v>
      </c>
      <c r="D95" s="36" t="s">
        <v>357</v>
      </c>
      <c r="E95" s="45" t="s">
        <v>305</v>
      </c>
      <c r="F95" s="56" t="s">
        <v>183</v>
      </c>
      <c r="G95" s="52" t="s">
        <v>335</v>
      </c>
      <c r="H95" s="63"/>
      <c r="I95" s="73"/>
      <c r="J95" s="73"/>
      <c r="K95" s="81"/>
      <c r="L95" s="85"/>
      <c r="M95" s="81"/>
      <c r="N95" s="85"/>
      <c r="O95" s="59"/>
      <c r="P95" s="63"/>
      <c r="Q95" s="73"/>
      <c r="R95" s="81"/>
      <c r="S95" s="85"/>
      <c r="T95" s="81"/>
      <c r="U95" s="105"/>
      <c r="V95" s="81"/>
      <c r="W95" s="85"/>
      <c r="X95" s="59"/>
      <c r="Y95" s="66" t="s">
        <v>339</v>
      </c>
      <c r="Z95" s="74" t="s">
        <v>6</v>
      </c>
      <c r="AA95" s="82" t="s">
        <v>1</v>
      </c>
      <c r="AB95" s="86">
        <v>449</v>
      </c>
      <c r="AC95" s="82" t="s">
        <v>6</v>
      </c>
      <c r="AD95" s="107">
        <v>748.7</v>
      </c>
      <c r="AE95" s="82" t="s">
        <v>1</v>
      </c>
      <c r="AF95" s="107">
        <v>454</v>
      </c>
      <c r="AG95" s="60" t="s">
        <v>20</v>
      </c>
      <c r="AH95" s="123"/>
      <c r="AI95" s="132"/>
      <c r="AJ95" s="132"/>
      <c r="AK95" s="132"/>
      <c r="AL95" s="115"/>
      <c r="AM95" s="123"/>
      <c r="AN95" s="132"/>
      <c r="AO95" s="132"/>
      <c r="AP95" s="132"/>
      <c r="AQ95" s="115"/>
      <c r="AR95" s="124">
        <v>3</v>
      </c>
      <c r="AS95" s="133">
        <v>3</v>
      </c>
      <c r="AT95" s="133">
        <v>4</v>
      </c>
      <c r="AU95" s="133">
        <v>5</v>
      </c>
      <c r="AV95" s="116">
        <v>1</v>
      </c>
      <c r="AW95" s="23" t="s">
        <v>236</v>
      </c>
    </row>
    <row r="96" spans="1:49" ht="48" customHeight="1">
      <c r="A96" s="34" t="s">
        <v>192</v>
      </c>
      <c r="B96" s="28" t="s">
        <v>193</v>
      </c>
      <c r="C96" s="328" t="s">
        <v>180</v>
      </c>
      <c r="D96" s="38" t="s">
        <v>282</v>
      </c>
      <c r="E96" s="47" t="s">
        <v>305</v>
      </c>
      <c r="F96" s="58" t="s">
        <v>178</v>
      </c>
      <c r="G96" s="52" t="s">
        <v>335</v>
      </c>
      <c r="H96" s="63"/>
      <c r="I96" s="73"/>
      <c r="J96" s="73"/>
      <c r="K96" s="81"/>
      <c r="L96" s="85"/>
      <c r="M96" s="81"/>
      <c r="N96" s="85"/>
      <c r="O96" s="92"/>
      <c r="P96" s="63"/>
      <c r="Q96" s="73"/>
      <c r="R96" s="81"/>
      <c r="S96" s="85"/>
      <c r="T96" s="81"/>
      <c r="U96" s="105"/>
      <c r="V96" s="81"/>
      <c r="W96" s="85"/>
      <c r="X96" s="92"/>
      <c r="Y96" s="66" t="s">
        <v>339</v>
      </c>
      <c r="Z96" s="74" t="s">
        <v>6</v>
      </c>
      <c r="AA96" s="82" t="s">
        <v>6</v>
      </c>
      <c r="AB96" s="86">
        <v>568</v>
      </c>
      <c r="AC96" s="82" t="s">
        <v>6</v>
      </c>
      <c r="AD96" s="86">
        <v>684.9</v>
      </c>
      <c r="AE96" s="82" t="s">
        <v>1</v>
      </c>
      <c r="AF96" s="86">
        <v>531.4</v>
      </c>
      <c r="AG96" s="93" t="s">
        <v>7</v>
      </c>
      <c r="AH96" s="123"/>
      <c r="AI96" s="132"/>
      <c r="AJ96" s="132"/>
      <c r="AK96" s="132"/>
      <c r="AL96" s="115"/>
      <c r="AM96" s="123"/>
      <c r="AN96" s="132"/>
      <c r="AO96" s="132"/>
      <c r="AP96" s="132"/>
      <c r="AQ96" s="115"/>
      <c r="AR96" s="124">
        <v>4</v>
      </c>
      <c r="AS96" s="133">
        <v>2</v>
      </c>
      <c r="AT96" s="133">
        <v>4</v>
      </c>
      <c r="AU96" s="133">
        <v>2</v>
      </c>
      <c r="AV96" s="116">
        <v>2</v>
      </c>
      <c r="AW96" s="20"/>
    </row>
    <row r="97" spans="1:49" ht="48" customHeight="1">
      <c r="A97" s="34" t="s">
        <v>192</v>
      </c>
      <c r="B97" s="28" t="s">
        <v>193</v>
      </c>
      <c r="C97" s="328" t="s">
        <v>179</v>
      </c>
      <c r="D97" s="39" t="s">
        <v>330</v>
      </c>
      <c r="E97" s="47" t="s">
        <v>311</v>
      </c>
      <c r="F97" s="58" t="s">
        <v>178</v>
      </c>
      <c r="G97" s="52" t="s">
        <v>335</v>
      </c>
      <c r="H97" s="63"/>
      <c r="I97" s="73"/>
      <c r="J97" s="73"/>
      <c r="K97" s="81"/>
      <c r="L97" s="85"/>
      <c r="M97" s="81"/>
      <c r="N97" s="85"/>
      <c r="O97" s="92"/>
      <c r="P97" s="63"/>
      <c r="Q97" s="73"/>
      <c r="R97" s="81"/>
      <c r="S97" s="85"/>
      <c r="T97" s="81"/>
      <c r="U97" s="105"/>
      <c r="V97" s="81"/>
      <c r="W97" s="85"/>
      <c r="X97" s="92"/>
      <c r="Y97" s="66" t="s">
        <v>339</v>
      </c>
      <c r="Z97" s="74" t="s">
        <v>6</v>
      </c>
      <c r="AA97" s="82" t="s">
        <v>6</v>
      </c>
      <c r="AB97" s="86">
        <v>585</v>
      </c>
      <c r="AC97" s="82" t="s">
        <v>1</v>
      </c>
      <c r="AD97" s="86">
        <v>536.6</v>
      </c>
      <c r="AE97" s="82" t="s">
        <v>1</v>
      </c>
      <c r="AF97" s="86">
        <v>406.2</v>
      </c>
      <c r="AG97" s="93" t="s">
        <v>7</v>
      </c>
      <c r="AH97" s="123"/>
      <c r="AI97" s="132"/>
      <c r="AJ97" s="132"/>
      <c r="AK97" s="132"/>
      <c r="AL97" s="115"/>
      <c r="AM97" s="123"/>
      <c r="AN97" s="132"/>
      <c r="AO97" s="132"/>
      <c r="AP97" s="132"/>
      <c r="AQ97" s="115"/>
      <c r="AR97" s="124">
        <v>4</v>
      </c>
      <c r="AS97" s="133">
        <v>2</v>
      </c>
      <c r="AT97" s="133">
        <v>4</v>
      </c>
      <c r="AU97" s="133">
        <v>2</v>
      </c>
      <c r="AV97" s="116">
        <v>3</v>
      </c>
      <c r="AW97" s="20"/>
    </row>
    <row r="98" spans="1:49" ht="48" customHeight="1">
      <c r="A98" s="34" t="s">
        <v>192</v>
      </c>
      <c r="B98" s="28" t="s">
        <v>193</v>
      </c>
      <c r="C98" s="328" t="s">
        <v>64</v>
      </c>
      <c r="D98" s="38" t="s">
        <v>289</v>
      </c>
      <c r="E98" s="47" t="s">
        <v>311</v>
      </c>
      <c r="F98" s="56" t="s">
        <v>56</v>
      </c>
      <c r="G98" s="52" t="s">
        <v>335</v>
      </c>
      <c r="H98" s="63"/>
      <c r="I98" s="73"/>
      <c r="J98" s="73"/>
      <c r="K98" s="81"/>
      <c r="L98" s="85"/>
      <c r="M98" s="81"/>
      <c r="N98" s="85"/>
      <c r="O98" s="92"/>
      <c r="P98" s="63"/>
      <c r="Q98" s="73"/>
      <c r="R98" s="81"/>
      <c r="S98" s="85"/>
      <c r="T98" s="81"/>
      <c r="U98" s="105"/>
      <c r="V98" s="81"/>
      <c r="W98" s="85"/>
      <c r="X98" s="92"/>
      <c r="Y98" s="66" t="s">
        <v>339</v>
      </c>
      <c r="Z98" s="74" t="s">
        <v>1</v>
      </c>
      <c r="AA98" s="82" t="s">
        <v>6</v>
      </c>
      <c r="AB98" s="86">
        <v>573</v>
      </c>
      <c r="AC98" s="82" t="s">
        <v>6</v>
      </c>
      <c r="AD98" s="86">
        <v>643.5</v>
      </c>
      <c r="AE98" s="82" t="s">
        <v>1</v>
      </c>
      <c r="AF98" s="86">
        <v>509.2</v>
      </c>
      <c r="AG98" s="93" t="s">
        <v>7</v>
      </c>
      <c r="AH98" s="127"/>
      <c r="AI98" s="136"/>
      <c r="AJ98" s="136"/>
      <c r="AK98" s="136"/>
      <c r="AL98" s="119"/>
      <c r="AM98" s="127"/>
      <c r="AN98" s="136"/>
      <c r="AO98" s="136"/>
      <c r="AP98" s="136"/>
      <c r="AQ98" s="119"/>
      <c r="AR98" s="129">
        <v>2.8</v>
      </c>
      <c r="AS98" s="138">
        <v>3</v>
      </c>
      <c r="AT98" s="138">
        <v>1.5</v>
      </c>
      <c r="AU98" s="138">
        <v>2.7</v>
      </c>
      <c r="AV98" s="121">
        <v>2.8</v>
      </c>
      <c r="AW98" s="20"/>
    </row>
    <row r="99" spans="1:49" ht="48" customHeight="1">
      <c r="A99" s="34" t="s">
        <v>192</v>
      </c>
      <c r="B99" s="28" t="s">
        <v>193</v>
      </c>
      <c r="C99" s="328" t="s">
        <v>66</v>
      </c>
      <c r="D99" s="38" t="s">
        <v>291</v>
      </c>
      <c r="E99" s="47" t="s">
        <v>299</v>
      </c>
      <c r="F99" s="56" t="s">
        <v>56</v>
      </c>
      <c r="G99" s="52" t="s">
        <v>335</v>
      </c>
      <c r="H99" s="63"/>
      <c r="I99" s="73"/>
      <c r="J99" s="73"/>
      <c r="K99" s="81"/>
      <c r="L99" s="85"/>
      <c r="M99" s="81"/>
      <c r="N99" s="85"/>
      <c r="O99" s="92"/>
      <c r="P99" s="63"/>
      <c r="Q99" s="73"/>
      <c r="R99" s="81"/>
      <c r="S99" s="85"/>
      <c r="T99" s="81"/>
      <c r="U99" s="105"/>
      <c r="V99" s="81"/>
      <c r="W99" s="85"/>
      <c r="X99" s="92"/>
      <c r="Y99" s="66" t="s">
        <v>339</v>
      </c>
      <c r="Z99" s="74" t="s">
        <v>1</v>
      </c>
      <c r="AA99" s="82" t="s">
        <v>6</v>
      </c>
      <c r="AB99" s="86">
        <v>548</v>
      </c>
      <c r="AC99" s="82" t="s">
        <v>6</v>
      </c>
      <c r="AD99" s="86">
        <v>722.4</v>
      </c>
      <c r="AE99" s="82" t="s">
        <v>1</v>
      </c>
      <c r="AF99" s="86">
        <v>517.9</v>
      </c>
      <c r="AG99" s="93" t="s">
        <v>7</v>
      </c>
      <c r="AH99" s="127"/>
      <c r="AI99" s="136"/>
      <c r="AJ99" s="136"/>
      <c r="AK99" s="136"/>
      <c r="AL99" s="119"/>
      <c r="AM99" s="127"/>
      <c r="AN99" s="136"/>
      <c r="AO99" s="136"/>
      <c r="AP99" s="136"/>
      <c r="AQ99" s="119"/>
      <c r="AR99" s="129">
        <v>4.7</v>
      </c>
      <c r="AS99" s="138">
        <v>4.5</v>
      </c>
      <c r="AT99" s="138">
        <v>5</v>
      </c>
      <c r="AU99" s="138">
        <v>3.5</v>
      </c>
      <c r="AV99" s="121">
        <v>4.2</v>
      </c>
      <c r="AW99" s="20"/>
    </row>
    <row r="100" spans="1:49" ht="48" customHeight="1">
      <c r="A100" s="34" t="s">
        <v>192</v>
      </c>
      <c r="B100" s="28" t="s">
        <v>193</v>
      </c>
      <c r="C100" s="330" t="s">
        <v>53</v>
      </c>
      <c r="D100" s="38" t="s">
        <v>292</v>
      </c>
      <c r="E100" s="47" t="s">
        <v>298</v>
      </c>
      <c r="F100" s="56" t="s">
        <v>54</v>
      </c>
      <c r="G100" s="52" t="s">
        <v>335</v>
      </c>
      <c r="H100" s="67"/>
      <c r="I100" s="76"/>
      <c r="J100" s="73"/>
      <c r="K100" s="81"/>
      <c r="L100" s="85"/>
      <c r="M100" s="81"/>
      <c r="N100" s="85"/>
      <c r="O100" s="61"/>
      <c r="P100" s="100"/>
      <c r="Q100" s="76"/>
      <c r="R100" s="81"/>
      <c r="S100" s="85"/>
      <c r="T100" s="81"/>
      <c r="U100" s="105"/>
      <c r="V100" s="81"/>
      <c r="W100" s="85"/>
      <c r="X100" s="61"/>
      <c r="Y100" s="66" t="s">
        <v>339</v>
      </c>
      <c r="Z100" s="103" t="s">
        <v>1</v>
      </c>
      <c r="AA100" s="82" t="s">
        <v>1</v>
      </c>
      <c r="AB100" s="86">
        <v>519</v>
      </c>
      <c r="AC100" s="82" t="s">
        <v>6</v>
      </c>
      <c r="AD100" s="107">
        <v>687</v>
      </c>
      <c r="AE100" s="82" t="s">
        <v>6</v>
      </c>
      <c r="AF100" s="86">
        <v>618.9</v>
      </c>
      <c r="AG100" s="98" t="s">
        <v>7</v>
      </c>
      <c r="AH100" s="127"/>
      <c r="AI100" s="136"/>
      <c r="AJ100" s="136"/>
      <c r="AK100" s="136"/>
      <c r="AL100" s="119"/>
      <c r="AM100" s="127"/>
      <c r="AN100" s="136"/>
      <c r="AO100" s="136"/>
      <c r="AP100" s="136"/>
      <c r="AQ100" s="119"/>
      <c r="AR100" s="129">
        <v>3.7</v>
      </c>
      <c r="AS100" s="138">
        <v>3.5</v>
      </c>
      <c r="AT100" s="138">
        <v>3.5</v>
      </c>
      <c r="AU100" s="138">
        <v>3.5</v>
      </c>
      <c r="AV100" s="121">
        <v>4.8</v>
      </c>
      <c r="AW100" s="20"/>
    </row>
    <row r="101" spans="1:49" ht="48" customHeight="1">
      <c r="A101" s="34" t="s">
        <v>192</v>
      </c>
      <c r="B101" s="28" t="s">
        <v>193</v>
      </c>
      <c r="C101" s="328" t="s">
        <v>43</v>
      </c>
      <c r="D101" s="44" t="s">
        <v>295</v>
      </c>
      <c r="E101" s="51" t="s">
        <v>319</v>
      </c>
      <c r="F101" s="58" t="s">
        <v>44</v>
      </c>
      <c r="G101" s="52" t="s">
        <v>335</v>
      </c>
      <c r="H101" s="69"/>
      <c r="I101" s="77"/>
      <c r="J101" s="73"/>
      <c r="K101" s="81"/>
      <c r="L101" s="85"/>
      <c r="M101" s="81"/>
      <c r="N101" s="85"/>
      <c r="O101" s="97"/>
      <c r="P101" s="102"/>
      <c r="Q101" s="77"/>
      <c r="R101" s="81"/>
      <c r="S101" s="85"/>
      <c r="T101" s="81"/>
      <c r="U101" s="105"/>
      <c r="V101" s="81"/>
      <c r="W101" s="85"/>
      <c r="X101" s="97"/>
      <c r="Y101" s="66" t="s">
        <v>339</v>
      </c>
      <c r="Z101" s="109" t="s">
        <v>6</v>
      </c>
      <c r="AA101" s="82" t="s">
        <v>6</v>
      </c>
      <c r="AB101" s="86">
        <v>540</v>
      </c>
      <c r="AC101" s="82" t="s">
        <v>6</v>
      </c>
      <c r="AD101" s="86">
        <v>679.2</v>
      </c>
      <c r="AE101" s="82" t="s">
        <v>1</v>
      </c>
      <c r="AF101" s="86">
        <v>535.1</v>
      </c>
      <c r="AG101" s="113" t="s">
        <v>198</v>
      </c>
      <c r="AH101" s="130"/>
      <c r="AI101" s="139"/>
      <c r="AJ101" s="139"/>
      <c r="AK101" s="139"/>
      <c r="AL101" s="122"/>
      <c r="AM101" s="130"/>
      <c r="AN101" s="139"/>
      <c r="AO101" s="139"/>
      <c r="AP101" s="139"/>
      <c r="AQ101" s="122"/>
      <c r="AR101" s="147">
        <v>1.7</v>
      </c>
      <c r="AS101" s="148">
        <v>3.2</v>
      </c>
      <c r="AT101" s="148">
        <v>3</v>
      </c>
      <c r="AU101" s="148">
        <v>4</v>
      </c>
      <c r="AV101" s="146">
        <v>4</v>
      </c>
      <c r="AW101" s="149" t="s">
        <v>197</v>
      </c>
    </row>
    <row r="102" spans="1:49" ht="48" customHeight="1">
      <c r="A102" s="34" t="s">
        <v>192</v>
      </c>
      <c r="B102" s="25" t="s">
        <v>345</v>
      </c>
      <c r="C102" s="328" t="s">
        <v>517</v>
      </c>
      <c r="D102" s="36" t="s">
        <v>511</v>
      </c>
      <c r="E102" s="323" t="s">
        <v>509</v>
      </c>
      <c r="F102" s="56" t="s">
        <v>504</v>
      </c>
      <c r="G102" s="52" t="s">
        <v>335</v>
      </c>
      <c r="H102" s="63"/>
      <c r="I102" s="73"/>
      <c r="J102" s="73"/>
      <c r="K102" s="81"/>
      <c r="L102" s="85"/>
      <c r="M102" s="81"/>
      <c r="N102" s="85"/>
      <c r="O102" s="59"/>
      <c r="P102" s="63"/>
      <c r="Q102" s="73"/>
      <c r="R102" s="81"/>
      <c r="S102" s="85"/>
      <c r="T102" s="81"/>
      <c r="U102" s="105"/>
      <c r="V102" s="81"/>
      <c r="W102" s="85"/>
      <c r="X102" s="59"/>
      <c r="Y102" s="64" t="s">
        <v>340</v>
      </c>
      <c r="Z102" s="74" t="s">
        <v>1</v>
      </c>
      <c r="AA102" s="82" t="s">
        <v>20</v>
      </c>
      <c r="AB102" s="86">
        <v>617</v>
      </c>
      <c r="AC102" s="82" t="s">
        <v>6</v>
      </c>
      <c r="AD102" s="107">
        <v>786.5</v>
      </c>
      <c r="AE102" s="82" t="s">
        <v>1</v>
      </c>
      <c r="AF102" s="86">
        <v>499.8</v>
      </c>
      <c r="AG102" s="93" t="s">
        <v>7</v>
      </c>
      <c r="AH102" s="123"/>
      <c r="AI102" s="132"/>
      <c r="AJ102" s="132"/>
      <c r="AK102" s="132"/>
      <c r="AL102" s="115"/>
      <c r="AM102" s="123"/>
      <c r="AN102" s="132"/>
      <c r="AO102" s="132"/>
      <c r="AP102" s="132"/>
      <c r="AQ102" s="115"/>
      <c r="AR102" s="124">
        <v>4</v>
      </c>
      <c r="AS102" s="133">
        <v>1</v>
      </c>
      <c r="AT102" s="133">
        <v>4</v>
      </c>
      <c r="AU102" s="133">
        <v>3</v>
      </c>
      <c r="AV102" s="116">
        <v>3</v>
      </c>
      <c r="AW102" s="23" t="s">
        <v>235</v>
      </c>
    </row>
    <row r="103" spans="1:49" ht="48" customHeight="1">
      <c r="A103" s="34" t="s">
        <v>192</v>
      </c>
      <c r="B103" s="25" t="s">
        <v>345</v>
      </c>
      <c r="C103" s="328" t="s">
        <v>515</v>
      </c>
      <c r="D103" s="36" t="s">
        <v>507</v>
      </c>
      <c r="E103" s="45" t="s">
        <v>305</v>
      </c>
      <c r="F103" s="56" t="s">
        <v>504</v>
      </c>
      <c r="G103" s="52" t="s">
        <v>335</v>
      </c>
      <c r="H103" s="63"/>
      <c r="I103" s="73"/>
      <c r="J103" s="73"/>
      <c r="K103" s="81"/>
      <c r="L103" s="85"/>
      <c r="M103" s="81"/>
      <c r="N103" s="85"/>
      <c r="O103" s="59"/>
      <c r="P103" s="63"/>
      <c r="Q103" s="73"/>
      <c r="R103" s="81"/>
      <c r="S103" s="85"/>
      <c r="T103" s="81"/>
      <c r="U103" s="105"/>
      <c r="V103" s="81"/>
      <c r="W103" s="85"/>
      <c r="X103" s="59"/>
      <c r="Y103" s="64" t="s">
        <v>340</v>
      </c>
      <c r="Z103" s="74" t="s">
        <v>20</v>
      </c>
      <c r="AA103" s="82" t="s">
        <v>6</v>
      </c>
      <c r="AB103" s="86">
        <v>555</v>
      </c>
      <c r="AC103" s="82" t="s">
        <v>6</v>
      </c>
      <c r="AD103" s="107">
        <v>648</v>
      </c>
      <c r="AE103" s="82" t="s">
        <v>1</v>
      </c>
      <c r="AF103" s="86">
        <v>472.6</v>
      </c>
      <c r="AG103" s="93" t="s">
        <v>7</v>
      </c>
      <c r="AH103" s="123"/>
      <c r="AI103" s="132"/>
      <c r="AJ103" s="132"/>
      <c r="AK103" s="132"/>
      <c r="AL103" s="115"/>
      <c r="AM103" s="123"/>
      <c r="AN103" s="132"/>
      <c r="AO103" s="132"/>
      <c r="AP103" s="132"/>
      <c r="AQ103" s="115"/>
      <c r="AR103" s="124">
        <v>4</v>
      </c>
      <c r="AS103" s="133">
        <v>2</v>
      </c>
      <c r="AT103" s="133">
        <v>4</v>
      </c>
      <c r="AU103" s="133">
        <v>3</v>
      </c>
      <c r="AV103" s="116">
        <v>3</v>
      </c>
      <c r="AW103" s="23" t="s">
        <v>235</v>
      </c>
    </row>
    <row r="104" spans="1:49" ht="48" customHeight="1">
      <c r="A104" s="34" t="s">
        <v>192</v>
      </c>
      <c r="B104" s="25" t="s">
        <v>345</v>
      </c>
      <c r="C104" s="328" t="s">
        <v>184</v>
      </c>
      <c r="D104" s="36" t="s">
        <v>358</v>
      </c>
      <c r="E104" s="45" t="s">
        <v>305</v>
      </c>
      <c r="F104" s="56" t="s">
        <v>183</v>
      </c>
      <c r="G104" s="52" t="s">
        <v>335</v>
      </c>
      <c r="H104" s="63"/>
      <c r="I104" s="73"/>
      <c r="J104" s="73"/>
      <c r="K104" s="81"/>
      <c r="L104" s="85"/>
      <c r="M104" s="81"/>
      <c r="N104" s="85"/>
      <c r="O104" s="59"/>
      <c r="P104" s="63"/>
      <c r="Q104" s="73"/>
      <c r="R104" s="81"/>
      <c r="S104" s="85"/>
      <c r="T104" s="81"/>
      <c r="U104" s="105"/>
      <c r="V104" s="81"/>
      <c r="W104" s="85"/>
      <c r="X104" s="59"/>
      <c r="Y104" s="65" t="s">
        <v>340</v>
      </c>
      <c r="Z104" s="74" t="s">
        <v>6</v>
      </c>
      <c r="AA104" s="82" t="s">
        <v>6</v>
      </c>
      <c r="AB104" s="86">
        <v>573</v>
      </c>
      <c r="AC104" s="82" t="s">
        <v>6</v>
      </c>
      <c r="AD104" s="107">
        <v>791.2</v>
      </c>
      <c r="AE104" s="82" t="s">
        <v>1</v>
      </c>
      <c r="AF104" s="86">
        <v>506.8</v>
      </c>
      <c r="AG104" s="60" t="s">
        <v>205</v>
      </c>
      <c r="AH104" s="123"/>
      <c r="AI104" s="132"/>
      <c r="AJ104" s="132"/>
      <c r="AK104" s="132"/>
      <c r="AL104" s="115"/>
      <c r="AM104" s="123"/>
      <c r="AN104" s="132"/>
      <c r="AO104" s="132"/>
      <c r="AP104" s="132"/>
      <c r="AQ104" s="115"/>
      <c r="AR104" s="124">
        <v>3</v>
      </c>
      <c r="AS104" s="133">
        <v>3</v>
      </c>
      <c r="AT104" s="133">
        <v>4</v>
      </c>
      <c r="AU104" s="133">
        <v>3</v>
      </c>
      <c r="AV104" s="116">
        <v>1</v>
      </c>
      <c r="AW104" s="155" t="s">
        <v>348</v>
      </c>
    </row>
    <row r="105" spans="1:49" ht="48" customHeight="1">
      <c r="A105" s="34" t="s">
        <v>192</v>
      </c>
      <c r="B105" s="28" t="s">
        <v>193</v>
      </c>
      <c r="C105" s="328" t="s">
        <v>105</v>
      </c>
      <c r="D105" s="39" t="s">
        <v>283</v>
      </c>
      <c r="E105" s="47" t="s">
        <v>305</v>
      </c>
      <c r="F105" s="58" t="s">
        <v>100</v>
      </c>
      <c r="G105" s="52" t="s">
        <v>335</v>
      </c>
      <c r="H105" s="63"/>
      <c r="I105" s="73"/>
      <c r="J105" s="73"/>
      <c r="K105" s="81"/>
      <c r="L105" s="85"/>
      <c r="M105" s="81"/>
      <c r="N105" s="85"/>
      <c r="O105" s="92"/>
      <c r="P105" s="63"/>
      <c r="Q105" s="73"/>
      <c r="R105" s="81"/>
      <c r="S105" s="85"/>
      <c r="T105" s="81"/>
      <c r="U105" s="105"/>
      <c r="V105" s="81"/>
      <c r="W105" s="85"/>
      <c r="X105" s="92"/>
      <c r="Y105" s="65" t="s">
        <v>340</v>
      </c>
      <c r="Z105" s="74" t="s">
        <v>6</v>
      </c>
      <c r="AA105" s="82" t="s">
        <v>20</v>
      </c>
      <c r="AB105" s="86">
        <v>654</v>
      </c>
      <c r="AC105" s="82" t="s">
        <v>1</v>
      </c>
      <c r="AD105" s="86">
        <v>578.4</v>
      </c>
      <c r="AE105" s="82" t="s">
        <v>1</v>
      </c>
      <c r="AF105" s="86">
        <v>323.2</v>
      </c>
      <c r="AG105" s="93" t="s">
        <v>7</v>
      </c>
      <c r="AH105" s="123"/>
      <c r="AI105" s="132"/>
      <c r="AJ105" s="132"/>
      <c r="AK105" s="132"/>
      <c r="AL105" s="115"/>
      <c r="AM105" s="123"/>
      <c r="AN105" s="132"/>
      <c r="AO105" s="132"/>
      <c r="AP105" s="132"/>
      <c r="AQ105" s="115"/>
      <c r="AR105" s="124">
        <v>2</v>
      </c>
      <c r="AS105" s="133">
        <v>2</v>
      </c>
      <c r="AT105" s="133">
        <v>3</v>
      </c>
      <c r="AU105" s="133">
        <v>2</v>
      </c>
      <c r="AV105" s="116">
        <v>2</v>
      </c>
      <c r="AW105" s="20"/>
    </row>
    <row r="106" spans="1:49" ht="48" customHeight="1">
      <c r="A106" s="34" t="s">
        <v>192</v>
      </c>
      <c r="B106" s="28" t="s">
        <v>193</v>
      </c>
      <c r="C106" s="328" t="s">
        <v>571</v>
      </c>
      <c r="D106" s="39" t="s">
        <v>572</v>
      </c>
      <c r="E106" s="47" t="s">
        <v>244</v>
      </c>
      <c r="F106" s="58" t="s">
        <v>554</v>
      </c>
      <c r="G106" s="52" t="s">
        <v>181</v>
      </c>
      <c r="H106" s="63"/>
      <c r="I106" s="73"/>
      <c r="J106" s="73"/>
      <c r="K106" s="81"/>
      <c r="L106" s="85"/>
      <c r="M106" s="81"/>
      <c r="N106" s="85"/>
      <c r="O106" s="92"/>
      <c r="P106" s="63"/>
      <c r="Q106" s="73"/>
      <c r="R106" s="81"/>
      <c r="S106" s="85"/>
      <c r="T106" s="81"/>
      <c r="U106" s="105"/>
      <c r="V106" s="81"/>
      <c r="W106" s="85"/>
      <c r="X106" s="92"/>
      <c r="Y106" s="65" t="s">
        <v>340</v>
      </c>
      <c r="Z106" s="74" t="s">
        <v>1</v>
      </c>
      <c r="AA106" s="82" t="s">
        <v>20</v>
      </c>
      <c r="AB106" s="86">
        <v>624</v>
      </c>
      <c r="AC106" s="82" t="s">
        <v>1</v>
      </c>
      <c r="AD106" s="86">
        <v>623.1</v>
      </c>
      <c r="AE106" s="82" t="s">
        <v>1</v>
      </c>
      <c r="AF106" s="86">
        <v>476.3</v>
      </c>
      <c r="AG106" s="93" t="s">
        <v>562</v>
      </c>
      <c r="AH106" s="123"/>
      <c r="AI106" s="132"/>
      <c r="AJ106" s="132"/>
      <c r="AK106" s="132"/>
      <c r="AL106" s="115"/>
      <c r="AM106" s="123"/>
      <c r="AN106" s="132"/>
      <c r="AO106" s="132"/>
      <c r="AP106" s="132"/>
      <c r="AQ106" s="115"/>
      <c r="AR106" s="124">
        <v>4</v>
      </c>
      <c r="AS106" s="133">
        <v>3</v>
      </c>
      <c r="AT106" s="133">
        <v>3</v>
      </c>
      <c r="AU106" s="133">
        <v>4</v>
      </c>
      <c r="AV106" s="116">
        <v>3</v>
      </c>
      <c r="AW106" s="20"/>
    </row>
    <row r="107" spans="1:49" ht="48" customHeight="1">
      <c r="A107" s="34" t="s">
        <v>192</v>
      </c>
      <c r="B107" s="28" t="s">
        <v>193</v>
      </c>
      <c r="C107" s="328" t="s">
        <v>99</v>
      </c>
      <c r="D107" s="39" t="s">
        <v>284</v>
      </c>
      <c r="E107" s="47" t="s">
        <v>244</v>
      </c>
      <c r="F107" s="58" t="s">
        <v>92</v>
      </c>
      <c r="G107" s="52" t="s">
        <v>335</v>
      </c>
      <c r="H107" s="63"/>
      <c r="I107" s="73"/>
      <c r="J107" s="73"/>
      <c r="K107" s="81"/>
      <c r="L107" s="85"/>
      <c r="M107" s="81"/>
      <c r="N107" s="85"/>
      <c r="O107" s="92"/>
      <c r="P107" s="63"/>
      <c r="Q107" s="73"/>
      <c r="R107" s="81"/>
      <c r="S107" s="85"/>
      <c r="T107" s="81"/>
      <c r="U107" s="105"/>
      <c r="V107" s="81"/>
      <c r="W107" s="85"/>
      <c r="X107" s="92"/>
      <c r="Y107" s="64" t="s">
        <v>340</v>
      </c>
      <c r="Z107" s="74" t="s">
        <v>1</v>
      </c>
      <c r="AA107" s="82" t="s">
        <v>20</v>
      </c>
      <c r="AB107" s="86">
        <v>625</v>
      </c>
      <c r="AC107" s="82" t="s">
        <v>1</v>
      </c>
      <c r="AD107" s="86">
        <v>546.29999999999995</v>
      </c>
      <c r="AE107" s="82" t="s">
        <v>1</v>
      </c>
      <c r="AF107" s="86">
        <v>410.6</v>
      </c>
      <c r="AG107" s="93" t="s">
        <v>7</v>
      </c>
      <c r="AH107" s="123"/>
      <c r="AI107" s="132"/>
      <c r="AJ107" s="132"/>
      <c r="AK107" s="132"/>
      <c r="AL107" s="115"/>
      <c r="AM107" s="123"/>
      <c r="AN107" s="132"/>
      <c r="AO107" s="132"/>
      <c r="AP107" s="132"/>
      <c r="AQ107" s="115"/>
      <c r="AR107" s="124">
        <v>5</v>
      </c>
      <c r="AS107" s="133">
        <v>2</v>
      </c>
      <c r="AT107" s="133">
        <v>4</v>
      </c>
      <c r="AU107" s="133">
        <v>2</v>
      </c>
      <c r="AV107" s="116">
        <v>3</v>
      </c>
      <c r="AW107" s="20"/>
    </row>
    <row r="108" spans="1:49" ht="48" customHeight="1">
      <c r="A108" s="34" t="s">
        <v>192</v>
      </c>
      <c r="B108" s="31" t="s">
        <v>193</v>
      </c>
      <c r="C108" s="329" t="s">
        <v>91</v>
      </c>
      <c r="D108" s="245" t="s">
        <v>332</v>
      </c>
      <c r="E108" s="48" t="s">
        <v>317</v>
      </c>
      <c r="F108" s="56" t="s">
        <v>88</v>
      </c>
      <c r="G108" s="52" t="s">
        <v>335</v>
      </c>
      <c r="H108" s="62"/>
      <c r="I108" s="72"/>
      <c r="J108" s="72"/>
      <c r="K108" s="80"/>
      <c r="L108" s="84"/>
      <c r="M108" s="80"/>
      <c r="N108" s="84"/>
      <c r="O108" s="94"/>
      <c r="P108" s="62"/>
      <c r="Q108" s="72"/>
      <c r="R108" s="80"/>
      <c r="S108" s="84"/>
      <c r="T108" s="80"/>
      <c r="U108" s="106"/>
      <c r="V108" s="80"/>
      <c r="W108" s="84"/>
      <c r="X108" s="94"/>
      <c r="Y108" s="65" t="s">
        <v>340</v>
      </c>
      <c r="Z108" s="75" t="s">
        <v>6</v>
      </c>
      <c r="AA108" s="83" t="s">
        <v>20</v>
      </c>
      <c r="AB108" s="87">
        <v>646</v>
      </c>
      <c r="AC108" s="83" t="s">
        <v>1</v>
      </c>
      <c r="AD108" s="87">
        <v>510.4</v>
      </c>
      <c r="AE108" s="83" t="s">
        <v>1</v>
      </c>
      <c r="AF108" s="87">
        <v>319.39999999999998</v>
      </c>
      <c r="AG108" s="95" t="s">
        <v>7</v>
      </c>
      <c r="AH108" s="125"/>
      <c r="AI108" s="134"/>
      <c r="AJ108" s="134"/>
      <c r="AK108" s="134"/>
      <c r="AL108" s="117"/>
      <c r="AM108" s="125"/>
      <c r="AN108" s="134"/>
      <c r="AO108" s="134"/>
      <c r="AP108" s="134"/>
      <c r="AQ108" s="117"/>
      <c r="AR108" s="126">
        <v>2</v>
      </c>
      <c r="AS108" s="135">
        <v>1</v>
      </c>
      <c r="AT108" s="135">
        <v>3</v>
      </c>
      <c r="AU108" s="135">
        <v>2</v>
      </c>
      <c r="AV108" s="118">
        <v>3</v>
      </c>
      <c r="AW108" s="22"/>
    </row>
    <row r="109" spans="1:49" ht="48" customHeight="1">
      <c r="A109" s="34" t="s">
        <v>192</v>
      </c>
      <c r="B109" s="28" t="s">
        <v>193</v>
      </c>
      <c r="C109" s="328" t="s">
        <v>65</v>
      </c>
      <c r="D109" s="38" t="s">
        <v>290</v>
      </c>
      <c r="E109" s="47" t="s">
        <v>311</v>
      </c>
      <c r="F109" s="56" t="s">
        <v>56</v>
      </c>
      <c r="G109" s="52" t="s">
        <v>335</v>
      </c>
      <c r="H109" s="63"/>
      <c r="I109" s="73"/>
      <c r="J109" s="73"/>
      <c r="K109" s="81"/>
      <c r="L109" s="84"/>
      <c r="M109" s="81"/>
      <c r="N109" s="85"/>
      <c r="O109" s="92"/>
      <c r="P109" s="63"/>
      <c r="Q109" s="73"/>
      <c r="R109" s="81"/>
      <c r="S109" s="85"/>
      <c r="T109" s="81"/>
      <c r="U109" s="105"/>
      <c r="V109" s="81"/>
      <c r="W109" s="85"/>
      <c r="X109" s="92"/>
      <c r="Y109" s="64" t="s">
        <v>340</v>
      </c>
      <c r="Z109" s="74" t="s">
        <v>6</v>
      </c>
      <c r="AA109" s="82" t="s">
        <v>20</v>
      </c>
      <c r="AB109" s="86">
        <v>646</v>
      </c>
      <c r="AC109" s="82" t="s">
        <v>1</v>
      </c>
      <c r="AD109" s="107">
        <v>516</v>
      </c>
      <c r="AE109" s="82" t="s">
        <v>1</v>
      </c>
      <c r="AF109" s="86">
        <v>314.5</v>
      </c>
      <c r="AG109" s="93" t="s">
        <v>7</v>
      </c>
      <c r="AH109" s="127"/>
      <c r="AI109" s="136"/>
      <c r="AJ109" s="136"/>
      <c r="AK109" s="136"/>
      <c r="AL109" s="119"/>
      <c r="AM109" s="127"/>
      <c r="AN109" s="136"/>
      <c r="AO109" s="136"/>
      <c r="AP109" s="136"/>
      <c r="AQ109" s="119"/>
      <c r="AR109" s="129">
        <v>2.8</v>
      </c>
      <c r="AS109" s="138">
        <v>1.7</v>
      </c>
      <c r="AT109" s="138">
        <v>5</v>
      </c>
      <c r="AU109" s="138">
        <v>1.8</v>
      </c>
      <c r="AV109" s="121">
        <v>3.8</v>
      </c>
      <c r="AW109" s="20"/>
    </row>
    <row r="110" spans="1:49"/>
    <row r="111" spans="1:49"/>
    <row r="112" spans="1:49"/>
    <row r="113"/>
    <row r="114"/>
    <row r="115"/>
  </sheetData>
  <autoFilter ref="A7:AW109" xr:uid="{00000000-0009-0000-0000-000001000000}">
    <sortState xmlns:xlrd2="http://schemas.microsoft.com/office/spreadsheetml/2017/richdata2" ref="A12:AW109">
      <sortCondition ref="A7:A109"/>
    </sortState>
  </autoFilter>
  <mergeCells count="49">
    <mergeCell ref="J6:J7"/>
    <mergeCell ref="K6:L6"/>
    <mergeCell ref="M6:N6"/>
    <mergeCell ref="A5:A7"/>
    <mergeCell ref="B5:B7"/>
    <mergeCell ref="C5:C7"/>
    <mergeCell ref="D5:D7"/>
    <mergeCell ref="E5:E7"/>
    <mergeCell ref="F5:F7"/>
    <mergeCell ref="O6:O7"/>
    <mergeCell ref="P6:P7"/>
    <mergeCell ref="Q6:Q7"/>
    <mergeCell ref="R6:S6"/>
    <mergeCell ref="T6:U6"/>
    <mergeCell ref="AJ6:AJ7"/>
    <mergeCell ref="AK6:AK7"/>
    <mergeCell ref="AL6:AL7"/>
    <mergeCell ref="V6:W6"/>
    <mergeCell ref="X6:X7"/>
    <mergeCell ref="Y6:Y7"/>
    <mergeCell ref="Z6:Z7"/>
    <mergeCell ref="AA6:AB6"/>
    <mergeCell ref="AW5:AW7"/>
    <mergeCell ref="AM6:AM7"/>
    <mergeCell ref="AN6:AN7"/>
    <mergeCell ref="AO6:AO7"/>
    <mergeCell ref="AP6:AP7"/>
    <mergeCell ref="AS6:AS7"/>
    <mergeCell ref="AT6:AT7"/>
    <mergeCell ref="AU6:AU7"/>
    <mergeCell ref="AV6:AV7"/>
    <mergeCell ref="AQ6:AQ7"/>
    <mergeCell ref="AR6:AR7"/>
    <mergeCell ref="A1:C1"/>
    <mergeCell ref="Y5:AG5"/>
    <mergeCell ref="H5:O5"/>
    <mergeCell ref="AH5:AL5"/>
    <mergeCell ref="AR5:AV5"/>
    <mergeCell ref="AM5:AQ5"/>
    <mergeCell ref="AH4:AV4"/>
    <mergeCell ref="G5:G7"/>
    <mergeCell ref="H6:H7"/>
    <mergeCell ref="I6:I7"/>
    <mergeCell ref="P5:X5"/>
    <mergeCell ref="AC6:AD6"/>
    <mergeCell ref="AE6:AF6"/>
    <mergeCell ref="AG6:AG7"/>
    <mergeCell ref="AH6:AH7"/>
    <mergeCell ref="AI6:AI7"/>
  </mergeCells>
  <phoneticPr fontId="2"/>
  <printOptions horizontalCentered="1"/>
  <pageMargins left="0.27559055118110237" right="0.19685039370078741" top="0.51181102362204722" bottom="0.35433070866141736" header="0.51181102362204722" footer="0.35433070866141736"/>
  <pageSetup paperSize="9" scale="4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V269"/>
  <sheetViews>
    <sheetView showGridLines="0" showRowColHeaders="0" view="pageBreakPreview" zoomScale="85" zoomScaleNormal="100" zoomScaleSheetLayoutView="85" workbookViewId="0">
      <pane xSplit="7" ySplit="5" topLeftCell="H67" activePane="bottomRight" state="frozen"/>
      <selection pane="topRight" activeCell="H1" sqref="H1"/>
      <selection pane="bottomLeft" activeCell="A6" sqref="A6"/>
      <selection pane="bottomRight" sqref="A1:C1"/>
    </sheetView>
  </sheetViews>
  <sheetFormatPr defaultColWidth="0" defaultRowHeight="13.5" zeroHeight="1"/>
  <cols>
    <col min="1" max="1" width="8.375" customWidth="1"/>
    <col min="2" max="2" width="6.5" bestFit="1" customWidth="1"/>
    <col min="3" max="3" width="9.875" customWidth="1"/>
    <col min="4" max="4" width="23.375" customWidth="1"/>
    <col min="5" max="5" width="5.5" customWidth="1"/>
    <col min="6" max="6" width="3.875" style="2" customWidth="1"/>
    <col min="7" max="8" width="5.5" customWidth="1"/>
    <col min="9" max="10" width="5.5" style="1" customWidth="1"/>
    <col min="11" max="11" width="4.125" style="1" customWidth="1"/>
    <col min="12" max="12" width="5.5" style="1" customWidth="1"/>
    <col min="13" max="13" width="4.125" style="1" customWidth="1"/>
    <col min="14" max="14" width="6.875" style="1" customWidth="1"/>
    <col min="15" max="16" width="5.5" customWidth="1"/>
    <col min="17" max="17" width="5.5" style="1" customWidth="1"/>
    <col min="18" max="19" width="4.125" style="1" customWidth="1"/>
    <col min="20" max="20" width="6.875" style="1" customWidth="1"/>
    <col min="21" max="21" width="4.125" style="1" customWidth="1"/>
    <col min="22" max="22" width="6.625" style="1" customWidth="1"/>
    <col min="23" max="24" width="5.5" customWidth="1"/>
    <col min="25" max="25" width="5.5" style="1" customWidth="1"/>
    <col min="26" max="28" width="4.125" style="1" customWidth="1"/>
    <col min="29" max="29" width="6.625" style="1" customWidth="1"/>
    <col min="30" max="30" width="4.125" style="1" customWidth="1"/>
    <col min="31" max="31" width="6.625" style="1" customWidth="1"/>
    <col min="32" max="32" width="5.5" customWidth="1"/>
    <col min="33" max="47" width="6.625" style="3" customWidth="1"/>
    <col min="48" max="48" width="66.625" customWidth="1"/>
    <col min="49" max="16384" width="8.875" hidden="1"/>
  </cols>
  <sheetData>
    <row r="1" spans="1:48" ht="18" customHeight="1" thickTop="1" thickBot="1">
      <c r="A1" s="344" t="str">
        <f>HYPERLINK("#'目次・索引'!B1","索引へ戻る")</f>
        <v>索引へ戻る</v>
      </c>
      <c r="B1" s="345"/>
      <c r="C1" s="346"/>
      <c r="D1" s="4" t="s">
        <v>125</v>
      </c>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L1" s="4"/>
      <c r="AM1" s="4"/>
      <c r="AN1" s="4"/>
      <c r="AO1" s="4"/>
      <c r="AQ1" s="4"/>
      <c r="AR1" s="4"/>
      <c r="AS1" s="4"/>
      <c r="AT1" s="4"/>
    </row>
    <row r="2" spans="1:48" ht="9" customHeight="1" thickTop="1"/>
    <row r="3" spans="1:48" ht="16.350000000000001" customHeight="1" thickBot="1">
      <c r="A3" t="s">
        <v>126</v>
      </c>
    </row>
    <row r="4" spans="1:48" ht="29.45" customHeight="1">
      <c r="A4" s="380" t="s">
        <v>187</v>
      </c>
      <c r="B4" s="401" t="s">
        <v>144</v>
      </c>
      <c r="C4" s="399" t="s">
        <v>12</v>
      </c>
      <c r="D4" s="389" t="s">
        <v>320</v>
      </c>
      <c r="E4" s="407" t="s">
        <v>321</v>
      </c>
      <c r="F4" s="405" t="s">
        <v>322</v>
      </c>
      <c r="G4" s="403" t="s">
        <v>323</v>
      </c>
      <c r="H4" s="347" t="s">
        <v>324</v>
      </c>
      <c r="I4" s="348"/>
      <c r="J4" s="348"/>
      <c r="K4" s="348"/>
      <c r="L4" s="348"/>
      <c r="M4" s="348"/>
      <c r="N4" s="348"/>
      <c r="O4" s="348"/>
      <c r="P4" s="397" t="s">
        <v>359</v>
      </c>
      <c r="Q4" s="398"/>
      <c r="R4" s="398"/>
      <c r="S4" s="398"/>
      <c r="T4" s="398"/>
      <c r="U4" s="398"/>
      <c r="V4" s="398"/>
      <c r="W4" s="398"/>
      <c r="X4" s="397" t="s">
        <v>360</v>
      </c>
      <c r="Y4" s="398"/>
      <c r="Z4" s="398"/>
      <c r="AA4" s="398"/>
      <c r="AB4" s="398"/>
      <c r="AC4" s="398"/>
      <c r="AD4" s="398"/>
      <c r="AE4" s="398"/>
      <c r="AF4" s="398"/>
      <c r="AG4" s="350" t="s">
        <v>491</v>
      </c>
      <c r="AH4" s="350"/>
      <c r="AI4" s="350"/>
      <c r="AJ4" s="350"/>
      <c r="AK4" s="350"/>
      <c r="AL4" s="350" t="s">
        <v>492</v>
      </c>
      <c r="AM4" s="350"/>
      <c r="AN4" s="350"/>
      <c r="AO4" s="350"/>
      <c r="AP4" s="350"/>
      <c r="AQ4" s="350" t="s">
        <v>493</v>
      </c>
      <c r="AR4" s="350"/>
      <c r="AS4" s="350"/>
      <c r="AT4" s="350"/>
      <c r="AU4" s="350"/>
      <c r="AV4" s="368" t="s">
        <v>196</v>
      </c>
    </row>
    <row r="5" spans="1:48" ht="90" customHeight="1" thickBot="1">
      <c r="A5" s="382"/>
      <c r="B5" s="402"/>
      <c r="C5" s="400"/>
      <c r="D5" s="391"/>
      <c r="E5" s="408"/>
      <c r="F5" s="406"/>
      <c r="G5" s="404"/>
      <c r="H5" s="279" t="s">
        <v>15</v>
      </c>
      <c r="I5" s="280" t="s">
        <v>188</v>
      </c>
      <c r="J5" s="281" t="s">
        <v>347</v>
      </c>
      <c r="K5" s="395" t="s">
        <v>13</v>
      </c>
      <c r="L5" s="396"/>
      <c r="M5" s="395" t="s">
        <v>495</v>
      </c>
      <c r="N5" s="396"/>
      <c r="O5" s="282" t="s">
        <v>189</v>
      </c>
      <c r="P5" s="279" t="s">
        <v>15</v>
      </c>
      <c r="Q5" s="280" t="s">
        <v>188</v>
      </c>
      <c r="R5" s="395" t="s">
        <v>494</v>
      </c>
      <c r="S5" s="396"/>
      <c r="T5" s="283" t="s">
        <v>497</v>
      </c>
      <c r="U5" s="395" t="s">
        <v>495</v>
      </c>
      <c r="V5" s="396"/>
      <c r="W5" s="282" t="s">
        <v>14</v>
      </c>
      <c r="X5" s="279" t="s">
        <v>15</v>
      </c>
      <c r="Y5" s="280" t="s">
        <v>188</v>
      </c>
      <c r="Z5" s="395" t="s">
        <v>13</v>
      </c>
      <c r="AA5" s="396"/>
      <c r="AB5" s="395" t="s">
        <v>496</v>
      </c>
      <c r="AC5" s="396"/>
      <c r="AD5" s="395" t="s">
        <v>495</v>
      </c>
      <c r="AE5" s="396"/>
      <c r="AF5" s="282" t="s">
        <v>189</v>
      </c>
      <c r="AG5" s="284" t="s">
        <v>232</v>
      </c>
      <c r="AH5" s="285" t="s">
        <v>233</v>
      </c>
      <c r="AI5" s="285" t="s">
        <v>234</v>
      </c>
      <c r="AJ5" s="285" t="s">
        <v>16</v>
      </c>
      <c r="AK5" s="286" t="s">
        <v>17</v>
      </c>
      <c r="AL5" s="284" t="s">
        <v>232</v>
      </c>
      <c r="AM5" s="285" t="s">
        <v>233</v>
      </c>
      <c r="AN5" s="285" t="s">
        <v>234</v>
      </c>
      <c r="AO5" s="285" t="s">
        <v>16</v>
      </c>
      <c r="AP5" s="286" t="s">
        <v>17</v>
      </c>
      <c r="AQ5" s="284" t="s">
        <v>232</v>
      </c>
      <c r="AR5" s="285" t="s">
        <v>233</v>
      </c>
      <c r="AS5" s="285" t="s">
        <v>234</v>
      </c>
      <c r="AT5" s="285" t="s">
        <v>16</v>
      </c>
      <c r="AU5" s="286" t="s">
        <v>17</v>
      </c>
      <c r="AV5" s="370"/>
    </row>
    <row r="6" spans="1:48" ht="48" customHeight="1">
      <c r="A6" s="157" t="s">
        <v>39</v>
      </c>
      <c r="B6" s="30" t="s">
        <v>193</v>
      </c>
      <c r="C6" s="249" t="s">
        <v>450</v>
      </c>
      <c r="D6" s="263" t="s">
        <v>373</v>
      </c>
      <c r="E6" s="264" t="s">
        <v>374</v>
      </c>
      <c r="F6" s="265" t="s">
        <v>19</v>
      </c>
      <c r="G6" s="266" t="s">
        <v>365</v>
      </c>
      <c r="H6" s="67"/>
      <c r="I6" s="267"/>
      <c r="J6" s="76"/>
      <c r="K6" s="268"/>
      <c r="L6" s="76"/>
      <c r="M6" s="269"/>
      <c r="N6" s="76"/>
      <c r="O6" s="61"/>
      <c r="P6" s="66" t="s">
        <v>336</v>
      </c>
      <c r="Q6" s="270" t="s">
        <v>1</v>
      </c>
      <c r="R6" s="271" t="s">
        <v>1</v>
      </c>
      <c r="S6" s="272">
        <v>43</v>
      </c>
      <c r="T6" s="103" t="s">
        <v>1</v>
      </c>
      <c r="U6" s="271" t="s">
        <v>1</v>
      </c>
      <c r="V6" s="272">
        <v>54.09</v>
      </c>
      <c r="W6" s="273" t="s">
        <v>3</v>
      </c>
      <c r="X6" s="67"/>
      <c r="Y6" s="76"/>
      <c r="Z6" s="269"/>
      <c r="AA6" s="274"/>
      <c r="AB6" s="269"/>
      <c r="AC6" s="274"/>
      <c r="AD6" s="269"/>
      <c r="AE6" s="274"/>
      <c r="AF6" s="61"/>
      <c r="AG6" s="127"/>
      <c r="AH6" s="136"/>
      <c r="AI6" s="136"/>
      <c r="AJ6" s="139"/>
      <c r="AK6" s="122"/>
      <c r="AL6" s="275">
        <v>2.8</v>
      </c>
      <c r="AM6" s="276">
        <v>2.8</v>
      </c>
      <c r="AN6" s="276">
        <v>3</v>
      </c>
      <c r="AO6" s="277">
        <v>4.3</v>
      </c>
      <c r="AP6" s="278">
        <v>3.4</v>
      </c>
      <c r="AQ6" s="127"/>
      <c r="AR6" s="136"/>
      <c r="AS6" s="136"/>
      <c r="AT6" s="139"/>
      <c r="AU6" s="122"/>
      <c r="AV6" s="149"/>
    </row>
    <row r="7" spans="1:48" ht="48" customHeight="1">
      <c r="A7" s="157" t="s">
        <v>39</v>
      </c>
      <c r="B7" s="30" t="s">
        <v>193</v>
      </c>
      <c r="C7" s="248" t="s">
        <v>8</v>
      </c>
      <c r="D7" s="243" t="s">
        <v>370</v>
      </c>
      <c r="E7" s="160" t="s">
        <v>239</v>
      </c>
      <c r="F7" s="164" t="s">
        <v>9</v>
      </c>
      <c r="G7" s="168" t="s">
        <v>195</v>
      </c>
      <c r="H7" s="174"/>
      <c r="I7" s="183"/>
      <c r="J7" s="78"/>
      <c r="K7" s="231"/>
      <c r="L7" s="78"/>
      <c r="M7" s="234"/>
      <c r="N7" s="78"/>
      <c r="O7" s="181"/>
      <c r="P7" s="99" t="s">
        <v>336</v>
      </c>
      <c r="Q7" s="200" t="s">
        <v>1</v>
      </c>
      <c r="R7" s="238" t="s">
        <v>1</v>
      </c>
      <c r="S7" s="207">
        <v>32</v>
      </c>
      <c r="T7" s="104" t="s">
        <v>1</v>
      </c>
      <c r="U7" s="238" t="s">
        <v>1</v>
      </c>
      <c r="V7" s="207">
        <v>54.82</v>
      </c>
      <c r="W7" s="194" t="s">
        <v>3</v>
      </c>
      <c r="X7" s="174"/>
      <c r="Y7" s="78"/>
      <c r="Z7" s="234"/>
      <c r="AA7" s="78"/>
      <c r="AB7" s="234"/>
      <c r="AC7" s="78"/>
      <c r="AD7" s="234"/>
      <c r="AE7" s="191"/>
      <c r="AF7" s="181"/>
      <c r="AG7" s="128"/>
      <c r="AH7" s="137"/>
      <c r="AI7" s="137"/>
      <c r="AJ7" s="228"/>
      <c r="AK7" s="224"/>
      <c r="AL7" s="222">
        <v>3.3</v>
      </c>
      <c r="AM7" s="223">
        <v>4</v>
      </c>
      <c r="AN7" s="223">
        <v>3.5</v>
      </c>
      <c r="AO7" s="229">
        <v>4.5</v>
      </c>
      <c r="AP7" s="225">
        <v>4.5999999999999996</v>
      </c>
      <c r="AQ7" s="128"/>
      <c r="AR7" s="137"/>
      <c r="AS7" s="137"/>
      <c r="AT7" s="228"/>
      <c r="AU7" s="224"/>
      <c r="AV7" s="287"/>
    </row>
    <row r="8" spans="1:48" ht="48" customHeight="1">
      <c r="A8" s="157" t="s">
        <v>39</v>
      </c>
      <c r="B8" s="30" t="s">
        <v>193</v>
      </c>
      <c r="C8" s="248" t="s">
        <v>452</v>
      </c>
      <c r="D8" s="243" t="s">
        <v>377</v>
      </c>
      <c r="E8" s="160" t="s">
        <v>239</v>
      </c>
      <c r="F8" s="166" t="s">
        <v>5</v>
      </c>
      <c r="G8" s="170" t="s">
        <v>365</v>
      </c>
      <c r="H8" s="70"/>
      <c r="I8" s="183"/>
      <c r="J8" s="78"/>
      <c r="K8" s="231"/>
      <c r="L8" s="191"/>
      <c r="M8" s="234"/>
      <c r="N8" s="191"/>
      <c r="O8" s="181"/>
      <c r="P8" s="66" t="s">
        <v>336</v>
      </c>
      <c r="Q8" s="200" t="s">
        <v>1</v>
      </c>
      <c r="R8" s="238" t="s">
        <v>1</v>
      </c>
      <c r="S8" s="207">
        <v>33</v>
      </c>
      <c r="T8" s="104" t="s">
        <v>1</v>
      </c>
      <c r="U8" s="238" t="s">
        <v>1</v>
      </c>
      <c r="V8" s="207">
        <v>51.85</v>
      </c>
      <c r="W8" s="194" t="s">
        <v>3</v>
      </c>
      <c r="X8" s="70"/>
      <c r="Y8" s="78"/>
      <c r="Z8" s="234"/>
      <c r="AA8" s="191"/>
      <c r="AB8" s="234"/>
      <c r="AC8" s="191"/>
      <c r="AD8" s="234"/>
      <c r="AE8" s="191"/>
      <c r="AF8" s="181"/>
      <c r="AG8" s="128"/>
      <c r="AH8" s="137"/>
      <c r="AI8" s="137"/>
      <c r="AJ8" s="228"/>
      <c r="AK8" s="224"/>
      <c r="AL8" s="222">
        <v>4.3</v>
      </c>
      <c r="AM8" s="223">
        <v>4.2</v>
      </c>
      <c r="AN8" s="223">
        <v>5</v>
      </c>
      <c r="AO8" s="229">
        <v>4.3</v>
      </c>
      <c r="AP8" s="225">
        <v>4</v>
      </c>
      <c r="AQ8" s="128"/>
      <c r="AR8" s="137"/>
      <c r="AS8" s="137"/>
      <c r="AT8" s="228"/>
      <c r="AU8" s="224"/>
      <c r="AV8" s="287"/>
    </row>
    <row r="9" spans="1:48" ht="48" customHeight="1">
      <c r="A9" s="157" t="s">
        <v>39</v>
      </c>
      <c r="B9" s="30" t="s">
        <v>193</v>
      </c>
      <c r="C9" s="248" t="s">
        <v>8</v>
      </c>
      <c r="D9" s="243" t="s">
        <v>376</v>
      </c>
      <c r="E9" s="160" t="s">
        <v>239</v>
      </c>
      <c r="F9" s="166" t="s">
        <v>19</v>
      </c>
      <c r="G9" s="168" t="s">
        <v>195</v>
      </c>
      <c r="H9" s="70"/>
      <c r="I9" s="183"/>
      <c r="J9" s="78"/>
      <c r="K9" s="231"/>
      <c r="L9" s="78"/>
      <c r="M9" s="234"/>
      <c r="N9" s="78"/>
      <c r="O9" s="181"/>
      <c r="P9" s="66" t="s">
        <v>336</v>
      </c>
      <c r="Q9" s="200" t="s">
        <v>1</v>
      </c>
      <c r="R9" s="238" t="s">
        <v>1</v>
      </c>
      <c r="S9" s="207">
        <v>30</v>
      </c>
      <c r="T9" s="104" t="s">
        <v>1</v>
      </c>
      <c r="U9" s="238" t="s">
        <v>1</v>
      </c>
      <c r="V9" s="207">
        <v>52.44</v>
      </c>
      <c r="W9" s="194" t="s">
        <v>3</v>
      </c>
      <c r="X9" s="70"/>
      <c r="Y9" s="78"/>
      <c r="Z9" s="234"/>
      <c r="AA9" s="191"/>
      <c r="AB9" s="234"/>
      <c r="AC9" s="191"/>
      <c r="AD9" s="234"/>
      <c r="AE9" s="191"/>
      <c r="AF9" s="181"/>
      <c r="AG9" s="128"/>
      <c r="AH9" s="137"/>
      <c r="AI9" s="137"/>
      <c r="AJ9" s="228"/>
      <c r="AK9" s="224"/>
      <c r="AL9" s="222">
        <v>4</v>
      </c>
      <c r="AM9" s="223">
        <v>3.5</v>
      </c>
      <c r="AN9" s="223">
        <v>4</v>
      </c>
      <c r="AO9" s="229">
        <v>4.3</v>
      </c>
      <c r="AP9" s="225">
        <v>4.2</v>
      </c>
      <c r="AQ9" s="128"/>
      <c r="AR9" s="137"/>
      <c r="AS9" s="137"/>
      <c r="AT9" s="228"/>
      <c r="AU9" s="224"/>
      <c r="AV9" s="287"/>
    </row>
    <row r="10" spans="1:48" ht="48" customHeight="1">
      <c r="A10" s="157" t="s">
        <v>39</v>
      </c>
      <c r="B10" s="30" t="s">
        <v>193</v>
      </c>
      <c r="C10" s="248" t="s">
        <v>8</v>
      </c>
      <c r="D10" s="243" t="s">
        <v>372</v>
      </c>
      <c r="E10" s="160" t="s">
        <v>367</v>
      </c>
      <c r="F10" s="166" t="s">
        <v>18</v>
      </c>
      <c r="G10" s="168" t="s">
        <v>195</v>
      </c>
      <c r="H10" s="70"/>
      <c r="I10" s="183"/>
      <c r="J10" s="78"/>
      <c r="K10" s="231"/>
      <c r="L10" s="78"/>
      <c r="M10" s="234"/>
      <c r="N10" s="78"/>
      <c r="O10" s="181"/>
      <c r="P10" s="66" t="s">
        <v>336</v>
      </c>
      <c r="Q10" s="200" t="s">
        <v>1</v>
      </c>
      <c r="R10" s="238" t="s">
        <v>1</v>
      </c>
      <c r="S10" s="207">
        <v>42</v>
      </c>
      <c r="T10" s="104" t="s">
        <v>1</v>
      </c>
      <c r="U10" s="238" t="s">
        <v>1</v>
      </c>
      <c r="V10" s="207">
        <v>53.31</v>
      </c>
      <c r="W10" s="194" t="s">
        <v>3</v>
      </c>
      <c r="X10" s="70"/>
      <c r="Y10" s="78"/>
      <c r="Z10" s="234"/>
      <c r="AA10" s="191"/>
      <c r="AB10" s="234"/>
      <c r="AC10" s="191"/>
      <c r="AD10" s="234"/>
      <c r="AE10" s="191"/>
      <c r="AF10" s="181"/>
      <c r="AG10" s="128"/>
      <c r="AH10" s="137"/>
      <c r="AI10" s="137"/>
      <c r="AJ10" s="228"/>
      <c r="AK10" s="224"/>
      <c r="AL10" s="222">
        <v>5</v>
      </c>
      <c r="AM10" s="223">
        <v>4.5</v>
      </c>
      <c r="AN10" s="223">
        <v>4.5</v>
      </c>
      <c r="AO10" s="229">
        <v>5</v>
      </c>
      <c r="AP10" s="225">
        <v>4.5999999999999996</v>
      </c>
      <c r="AQ10" s="128"/>
      <c r="AR10" s="137"/>
      <c r="AS10" s="137"/>
      <c r="AT10" s="228"/>
      <c r="AU10" s="224"/>
      <c r="AV10" s="287"/>
    </row>
    <row r="11" spans="1:48" ht="48" customHeight="1">
      <c r="A11" s="157" t="s">
        <v>39</v>
      </c>
      <c r="B11" s="30" t="s">
        <v>193</v>
      </c>
      <c r="C11" s="248" t="s">
        <v>8</v>
      </c>
      <c r="D11" s="243" t="s">
        <v>371</v>
      </c>
      <c r="E11" s="160" t="s">
        <v>154</v>
      </c>
      <c r="F11" s="166" t="s">
        <v>4</v>
      </c>
      <c r="G11" s="168" t="s">
        <v>195</v>
      </c>
      <c r="H11" s="70"/>
      <c r="I11" s="183"/>
      <c r="J11" s="78"/>
      <c r="K11" s="231"/>
      <c r="L11" s="78"/>
      <c r="M11" s="234"/>
      <c r="N11" s="78"/>
      <c r="O11" s="181"/>
      <c r="P11" s="64" t="s">
        <v>337</v>
      </c>
      <c r="Q11" s="200" t="s">
        <v>1</v>
      </c>
      <c r="R11" s="238" t="s">
        <v>1</v>
      </c>
      <c r="S11" s="207">
        <v>46</v>
      </c>
      <c r="T11" s="104" t="s">
        <v>1</v>
      </c>
      <c r="U11" s="238" t="s">
        <v>6</v>
      </c>
      <c r="V11" s="207">
        <v>59.39</v>
      </c>
      <c r="W11" s="194" t="s">
        <v>3</v>
      </c>
      <c r="X11" s="70"/>
      <c r="Y11" s="78"/>
      <c r="Z11" s="234"/>
      <c r="AA11" s="78"/>
      <c r="AB11" s="234"/>
      <c r="AC11" s="78"/>
      <c r="AD11" s="234"/>
      <c r="AE11" s="191"/>
      <c r="AF11" s="181"/>
      <c r="AG11" s="128"/>
      <c r="AH11" s="137"/>
      <c r="AI11" s="137"/>
      <c r="AJ11" s="228"/>
      <c r="AK11" s="224"/>
      <c r="AL11" s="222">
        <v>1.2</v>
      </c>
      <c r="AM11" s="223">
        <v>2</v>
      </c>
      <c r="AN11" s="223">
        <v>4</v>
      </c>
      <c r="AO11" s="229">
        <v>4</v>
      </c>
      <c r="AP11" s="225">
        <v>3.4</v>
      </c>
      <c r="AQ11" s="128"/>
      <c r="AR11" s="137"/>
      <c r="AS11" s="137"/>
      <c r="AT11" s="228"/>
      <c r="AU11" s="224"/>
      <c r="AV11" s="287"/>
    </row>
    <row r="12" spans="1:48" ht="48" customHeight="1">
      <c r="A12" s="157" t="s">
        <v>39</v>
      </c>
      <c r="B12" s="30" t="s">
        <v>193</v>
      </c>
      <c r="C12" s="35" t="s">
        <v>23</v>
      </c>
      <c r="D12" s="41" t="s">
        <v>369</v>
      </c>
      <c r="E12" s="161" t="s">
        <v>239</v>
      </c>
      <c r="F12" s="165" t="s">
        <v>22</v>
      </c>
      <c r="G12" s="169" t="s">
        <v>335</v>
      </c>
      <c r="H12" s="174"/>
      <c r="I12" s="183"/>
      <c r="J12" s="78"/>
      <c r="K12" s="231"/>
      <c r="L12" s="78"/>
      <c r="M12" s="234"/>
      <c r="N12" s="78"/>
      <c r="O12" s="181"/>
      <c r="P12" s="65" t="s">
        <v>337</v>
      </c>
      <c r="Q12" s="104" t="s">
        <v>1</v>
      </c>
      <c r="R12" s="238" t="s">
        <v>1</v>
      </c>
      <c r="S12" s="207">
        <v>41</v>
      </c>
      <c r="T12" s="104" t="s">
        <v>1</v>
      </c>
      <c r="U12" s="238" t="s">
        <v>6</v>
      </c>
      <c r="V12" s="207">
        <v>56.23</v>
      </c>
      <c r="W12" s="182" t="s">
        <v>3</v>
      </c>
      <c r="X12" s="174"/>
      <c r="Y12" s="78"/>
      <c r="Z12" s="234"/>
      <c r="AA12" s="78"/>
      <c r="AB12" s="234"/>
      <c r="AC12" s="78"/>
      <c r="AD12" s="234"/>
      <c r="AE12" s="191"/>
      <c r="AF12" s="181"/>
      <c r="AG12" s="128"/>
      <c r="AH12" s="137"/>
      <c r="AI12" s="137"/>
      <c r="AJ12" s="228"/>
      <c r="AK12" s="224"/>
      <c r="AL12" s="143">
        <v>4.2</v>
      </c>
      <c r="AM12" s="145">
        <v>3.5</v>
      </c>
      <c r="AN12" s="145">
        <v>5</v>
      </c>
      <c r="AO12" s="230">
        <v>4.5</v>
      </c>
      <c r="AP12" s="226">
        <v>4.5999999999999996</v>
      </c>
      <c r="AQ12" s="128"/>
      <c r="AR12" s="137"/>
      <c r="AS12" s="137"/>
      <c r="AT12" s="228"/>
      <c r="AU12" s="224"/>
      <c r="AV12" s="287"/>
    </row>
    <row r="13" spans="1:48" ht="48" customHeight="1">
      <c r="A13" s="157" t="s">
        <v>39</v>
      </c>
      <c r="B13" s="30" t="s">
        <v>193</v>
      </c>
      <c r="C13" s="248" t="s">
        <v>8</v>
      </c>
      <c r="D13" s="243" t="s">
        <v>501</v>
      </c>
      <c r="E13" s="160" t="s">
        <v>317</v>
      </c>
      <c r="F13" s="166" t="s">
        <v>19</v>
      </c>
      <c r="G13" s="171" t="s">
        <v>207</v>
      </c>
      <c r="H13" s="70"/>
      <c r="I13" s="184"/>
      <c r="J13" s="78"/>
      <c r="K13" s="231"/>
      <c r="L13" s="78"/>
      <c r="M13" s="234"/>
      <c r="N13" s="78"/>
      <c r="O13" s="181"/>
      <c r="P13" s="64" t="s">
        <v>337</v>
      </c>
      <c r="Q13" s="202" t="s">
        <v>6</v>
      </c>
      <c r="R13" s="238" t="s">
        <v>1</v>
      </c>
      <c r="S13" s="207">
        <v>31</v>
      </c>
      <c r="T13" s="104" t="s">
        <v>1</v>
      </c>
      <c r="U13" s="238" t="s">
        <v>1</v>
      </c>
      <c r="V13" s="207">
        <v>54.63</v>
      </c>
      <c r="W13" s="194" t="s">
        <v>3</v>
      </c>
      <c r="X13" s="70"/>
      <c r="Y13" s="215"/>
      <c r="Z13" s="234"/>
      <c r="AA13" s="191"/>
      <c r="AB13" s="234"/>
      <c r="AC13" s="191"/>
      <c r="AD13" s="234"/>
      <c r="AE13" s="191"/>
      <c r="AF13" s="181"/>
      <c r="AG13" s="128"/>
      <c r="AH13" s="137"/>
      <c r="AI13" s="137"/>
      <c r="AJ13" s="228"/>
      <c r="AK13" s="224"/>
      <c r="AL13" s="222">
        <v>2</v>
      </c>
      <c r="AM13" s="223">
        <v>3.5</v>
      </c>
      <c r="AN13" s="223">
        <v>2.5</v>
      </c>
      <c r="AO13" s="229">
        <v>2.8</v>
      </c>
      <c r="AP13" s="225">
        <v>2.6</v>
      </c>
      <c r="AQ13" s="128"/>
      <c r="AR13" s="137"/>
      <c r="AS13" s="137"/>
      <c r="AT13" s="228"/>
      <c r="AU13" s="224"/>
      <c r="AV13" s="287" t="s">
        <v>364</v>
      </c>
    </row>
    <row r="14" spans="1:48" ht="48" customHeight="1">
      <c r="A14" s="157" t="s">
        <v>39</v>
      </c>
      <c r="B14" s="30" t="s">
        <v>193</v>
      </c>
      <c r="C14" s="246" t="s">
        <v>33</v>
      </c>
      <c r="D14" s="243" t="s">
        <v>368</v>
      </c>
      <c r="E14" s="160" t="s">
        <v>366</v>
      </c>
      <c r="F14" s="164" t="s">
        <v>32</v>
      </c>
      <c r="G14" s="168" t="s">
        <v>335</v>
      </c>
      <c r="H14" s="174"/>
      <c r="I14" s="183"/>
      <c r="J14" s="78"/>
      <c r="K14" s="231"/>
      <c r="L14" s="78"/>
      <c r="M14" s="234"/>
      <c r="N14" s="78"/>
      <c r="O14" s="181"/>
      <c r="P14" s="65" t="s">
        <v>337</v>
      </c>
      <c r="Q14" s="200" t="s">
        <v>1</v>
      </c>
      <c r="R14" s="237" t="s">
        <v>1</v>
      </c>
      <c r="S14" s="206">
        <v>38</v>
      </c>
      <c r="T14" s="200" t="s">
        <v>1</v>
      </c>
      <c r="U14" s="237" t="s">
        <v>6</v>
      </c>
      <c r="V14" s="206">
        <v>58.28</v>
      </c>
      <c r="W14" s="194" t="s">
        <v>7</v>
      </c>
      <c r="X14" s="174"/>
      <c r="Y14" s="78"/>
      <c r="Z14" s="234"/>
      <c r="AA14" s="78"/>
      <c r="AB14" s="234"/>
      <c r="AC14" s="78"/>
      <c r="AD14" s="234"/>
      <c r="AE14" s="191"/>
      <c r="AF14" s="181"/>
      <c r="AG14" s="128"/>
      <c r="AH14" s="137"/>
      <c r="AI14" s="137"/>
      <c r="AJ14" s="228"/>
      <c r="AK14" s="224"/>
      <c r="AL14" s="222">
        <v>3.2</v>
      </c>
      <c r="AM14" s="223">
        <v>2.7</v>
      </c>
      <c r="AN14" s="223">
        <v>2.5</v>
      </c>
      <c r="AO14" s="229">
        <v>4.5</v>
      </c>
      <c r="AP14" s="225">
        <v>3.6</v>
      </c>
      <c r="AQ14" s="128"/>
      <c r="AR14" s="137"/>
      <c r="AS14" s="137"/>
      <c r="AT14" s="228"/>
      <c r="AU14" s="224"/>
      <c r="AV14" s="287"/>
    </row>
    <row r="15" spans="1:48" ht="48" customHeight="1">
      <c r="A15" s="157" t="s">
        <v>39</v>
      </c>
      <c r="B15" s="30" t="s">
        <v>193</v>
      </c>
      <c r="C15" s="248" t="s">
        <v>451</v>
      </c>
      <c r="D15" s="243" t="s">
        <v>375</v>
      </c>
      <c r="E15" s="160" t="s">
        <v>301</v>
      </c>
      <c r="F15" s="166" t="s">
        <v>19</v>
      </c>
      <c r="G15" s="170" t="s">
        <v>365</v>
      </c>
      <c r="H15" s="70"/>
      <c r="I15" s="183"/>
      <c r="J15" s="78"/>
      <c r="K15" s="231"/>
      <c r="L15" s="78"/>
      <c r="M15" s="234"/>
      <c r="N15" s="78"/>
      <c r="O15" s="181"/>
      <c r="P15" s="99" t="s">
        <v>339</v>
      </c>
      <c r="Q15" s="200" t="s">
        <v>1</v>
      </c>
      <c r="R15" s="238" t="s">
        <v>6</v>
      </c>
      <c r="S15" s="207">
        <v>61</v>
      </c>
      <c r="T15" s="104" t="s">
        <v>6</v>
      </c>
      <c r="U15" s="238" t="s">
        <v>1</v>
      </c>
      <c r="V15" s="207">
        <v>44.81</v>
      </c>
      <c r="W15" s="194" t="s">
        <v>3</v>
      </c>
      <c r="X15" s="70"/>
      <c r="Y15" s="78"/>
      <c r="Z15" s="234"/>
      <c r="AA15" s="191"/>
      <c r="AB15" s="234"/>
      <c r="AC15" s="191"/>
      <c r="AD15" s="234"/>
      <c r="AE15" s="191"/>
      <c r="AF15" s="181"/>
      <c r="AG15" s="128"/>
      <c r="AH15" s="137"/>
      <c r="AI15" s="137"/>
      <c r="AJ15" s="228"/>
      <c r="AK15" s="224"/>
      <c r="AL15" s="222">
        <v>3.8</v>
      </c>
      <c r="AM15" s="223">
        <v>3.3</v>
      </c>
      <c r="AN15" s="223">
        <v>4.5</v>
      </c>
      <c r="AO15" s="229">
        <v>4.3</v>
      </c>
      <c r="AP15" s="225">
        <v>4.2</v>
      </c>
      <c r="AQ15" s="128"/>
      <c r="AR15" s="137"/>
      <c r="AS15" s="137"/>
      <c r="AT15" s="228"/>
      <c r="AU15" s="224"/>
      <c r="AV15" s="287"/>
    </row>
    <row r="16" spans="1:48" ht="48" customHeight="1">
      <c r="A16" s="157" t="s">
        <v>39</v>
      </c>
      <c r="B16" s="30" t="s">
        <v>193</v>
      </c>
      <c r="C16" s="248" t="s">
        <v>8</v>
      </c>
      <c r="D16" s="243" t="s">
        <v>379</v>
      </c>
      <c r="E16" s="160" t="s">
        <v>378</v>
      </c>
      <c r="F16" s="166" t="s">
        <v>5</v>
      </c>
      <c r="G16" s="168" t="s">
        <v>195</v>
      </c>
      <c r="H16" s="70"/>
      <c r="I16" s="184"/>
      <c r="J16" s="78"/>
      <c r="K16" s="231"/>
      <c r="L16" s="191"/>
      <c r="M16" s="234"/>
      <c r="N16" s="191"/>
      <c r="O16" s="181"/>
      <c r="P16" s="66" t="s">
        <v>339</v>
      </c>
      <c r="Q16" s="202" t="s">
        <v>6</v>
      </c>
      <c r="R16" s="238" t="s">
        <v>1</v>
      </c>
      <c r="S16" s="207">
        <v>23</v>
      </c>
      <c r="T16" s="104" t="s">
        <v>1</v>
      </c>
      <c r="U16" s="238" t="s">
        <v>6</v>
      </c>
      <c r="V16" s="207">
        <v>55.62</v>
      </c>
      <c r="W16" s="194" t="s">
        <v>3</v>
      </c>
      <c r="X16" s="70"/>
      <c r="Y16" s="215"/>
      <c r="Z16" s="234"/>
      <c r="AA16" s="191"/>
      <c r="AB16" s="234"/>
      <c r="AC16" s="191"/>
      <c r="AD16" s="234"/>
      <c r="AE16" s="191"/>
      <c r="AF16" s="181"/>
      <c r="AG16" s="128"/>
      <c r="AH16" s="137"/>
      <c r="AI16" s="137"/>
      <c r="AJ16" s="228"/>
      <c r="AK16" s="224"/>
      <c r="AL16" s="222">
        <v>4.2</v>
      </c>
      <c r="AM16" s="223">
        <v>3</v>
      </c>
      <c r="AN16" s="223">
        <v>5</v>
      </c>
      <c r="AO16" s="229">
        <v>4.5</v>
      </c>
      <c r="AP16" s="225">
        <v>3.2</v>
      </c>
      <c r="AQ16" s="128"/>
      <c r="AR16" s="137"/>
      <c r="AS16" s="137"/>
      <c r="AT16" s="228"/>
      <c r="AU16" s="224"/>
      <c r="AV16" s="287"/>
    </row>
    <row r="17" spans="1:48" ht="48" customHeight="1">
      <c r="A17" s="157" t="s">
        <v>39</v>
      </c>
      <c r="B17" s="30" t="s">
        <v>193</v>
      </c>
      <c r="C17" s="248" t="s">
        <v>8</v>
      </c>
      <c r="D17" s="243" t="s">
        <v>502</v>
      </c>
      <c r="E17" s="160" t="s">
        <v>317</v>
      </c>
      <c r="F17" s="166" t="s">
        <v>5</v>
      </c>
      <c r="G17" s="171" t="s">
        <v>207</v>
      </c>
      <c r="H17" s="174"/>
      <c r="I17" s="184"/>
      <c r="J17" s="78"/>
      <c r="K17" s="231"/>
      <c r="L17" s="191"/>
      <c r="M17" s="234"/>
      <c r="N17" s="191"/>
      <c r="O17" s="181"/>
      <c r="P17" s="65" t="s">
        <v>340</v>
      </c>
      <c r="Q17" s="202" t="s">
        <v>2</v>
      </c>
      <c r="R17" s="238" t="s">
        <v>20</v>
      </c>
      <c r="S17" s="207">
        <v>79</v>
      </c>
      <c r="T17" s="104" t="s">
        <v>1</v>
      </c>
      <c r="U17" s="238" t="s">
        <v>1</v>
      </c>
      <c r="V17" s="207">
        <v>40.18</v>
      </c>
      <c r="W17" s="194" t="s">
        <v>3</v>
      </c>
      <c r="X17" s="174"/>
      <c r="Y17" s="215"/>
      <c r="Z17" s="234"/>
      <c r="AA17" s="191"/>
      <c r="AB17" s="234"/>
      <c r="AC17" s="191"/>
      <c r="AD17" s="234"/>
      <c r="AE17" s="191"/>
      <c r="AF17" s="181"/>
      <c r="AG17" s="128"/>
      <c r="AH17" s="137"/>
      <c r="AI17" s="137"/>
      <c r="AJ17" s="228"/>
      <c r="AK17" s="224"/>
      <c r="AL17" s="222">
        <v>2</v>
      </c>
      <c r="AM17" s="223">
        <v>3.5</v>
      </c>
      <c r="AN17" s="223">
        <v>2.5</v>
      </c>
      <c r="AO17" s="229">
        <v>3</v>
      </c>
      <c r="AP17" s="225">
        <v>2.6</v>
      </c>
      <c r="AQ17" s="128"/>
      <c r="AR17" s="137"/>
      <c r="AS17" s="137"/>
      <c r="AT17" s="228"/>
      <c r="AU17" s="224"/>
      <c r="AV17" s="287" t="s">
        <v>229</v>
      </c>
    </row>
    <row r="18" spans="1:48" ht="48" customHeight="1">
      <c r="A18" s="157" t="s">
        <v>39</v>
      </c>
      <c r="B18" s="30" t="s">
        <v>193</v>
      </c>
      <c r="C18" s="248" t="s">
        <v>8</v>
      </c>
      <c r="D18" s="243" t="s">
        <v>380</v>
      </c>
      <c r="E18" s="160" t="s">
        <v>381</v>
      </c>
      <c r="F18" s="166" t="s">
        <v>5</v>
      </c>
      <c r="G18" s="171" t="s">
        <v>207</v>
      </c>
      <c r="H18" s="262"/>
      <c r="I18" s="184"/>
      <c r="J18" s="78"/>
      <c r="K18" s="231"/>
      <c r="L18" s="191"/>
      <c r="M18" s="234"/>
      <c r="N18" s="191"/>
      <c r="O18" s="181"/>
      <c r="P18" s="64" t="s">
        <v>340</v>
      </c>
      <c r="Q18" s="202" t="s">
        <v>2</v>
      </c>
      <c r="R18" s="238" t="s">
        <v>20</v>
      </c>
      <c r="S18" s="207">
        <v>71</v>
      </c>
      <c r="T18" s="104" t="s">
        <v>1</v>
      </c>
      <c r="U18" s="238" t="s">
        <v>1</v>
      </c>
      <c r="V18" s="209">
        <v>43.2</v>
      </c>
      <c r="W18" s="194" t="s">
        <v>3</v>
      </c>
      <c r="X18" s="174"/>
      <c r="Y18" s="215"/>
      <c r="Z18" s="234"/>
      <c r="AA18" s="191"/>
      <c r="AB18" s="234"/>
      <c r="AC18" s="191"/>
      <c r="AD18" s="234"/>
      <c r="AE18" s="191"/>
      <c r="AF18" s="181"/>
      <c r="AG18" s="128"/>
      <c r="AH18" s="137"/>
      <c r="AI18" s="137"/>
      <c r="AJ18" s="228"/>
      <c r="AK18" s="224"/>
      <c r="AL18" s="222">
        <v>2.5</v>
      </c>
      <c r="AM18" s="223">
        <v>1.8</v>
      </c>
      <c r="AN18" s="223">
        <v>2</v>
      </c>
      <c r="AO18" s="229">
        <v>2.2999999999999998</v>
      </c>
      <c r="AP18" s="225">
        <v>3.2</v>
      </c>
      <c r="AQ18" s="128"/>
      <c r="AR18" s="137"/>
      <c r="AS18" s="137"/>
      <c r="AT18" s="228"/>
      <c r="AU18" s="224"/>
      <c r="AV18" s="287"/>
    </row>
    <row r="19" spans="1:48" ht="48" customHeight="1">
      <c r="A19" s="32" t="s">
        <v>191</v>
      </c>
      <c r="B19" s="30" t="s">
        <v>193</v>
      </c>
      <c r="C19" s="252" t="s">
        <v>459</v>
      </c>
      <c r="D19" s="41" t="s">
        <v>398</v>
      </c>
      <c r="E19" s="161" t="s">
        <v>313</v>
      </c>
      <c r="F19" s="167" t="s">
        <v>11</v>
      </c>
      <c r="G19" s="173" t="s">
        <v>206</v>
      </c>
      <c r="H19" s="67"/>
      <c r="I19" s="183"/>
      <c r="J19" s="78"/>
      <c r="K19" s="231"/>
      <c r="L19" s="191"/>
      <c r="M19" s="234"/>
      <c r="N19" s="198"/>
      <c r="O19" s="181"/>
      <c r="P19" s="66" t="s">
        <v>336</v>
      </c>
      <c r="Q19" s="104" t="s">
        <v>1</v>
      </c>
      <c r="R19" s="238" t="s">
        <v>1</v>
      </c>
      <c r="S19" s="207">
        <v>50</v>
      </c>
      <c r="T19" s="104" t="s">
        <v>1</v>
      </c>
      <c r="U19" s="238" t="s">
        <v>1</v>
      </c>
      <c r="V19" s="209">
        <v>46.4</v>
      </c>
      <c r="W19" s="182" t="s">
        <v>7</v>
      </c>
      <c r="X19" s="65" t="s">
        <v>337</v>
      </c>
      <c r="Y19" s="104" t="s">
        <v>1</v>
      </c>
      <c r="Z19" s="235" t="s">
        <v>6</v>
      </c>
      <c r="AA19" s="192">
        <v>600</v>
      </c>
      <c r="AB19" s="235" t="s">
        <v>1</v>
      </c>
      <c r="AC19" s="192">
        <v>73.84</v>
      </c>
      <c r="AD19" s="235" t="s">
        <v>1</v>
      </c>
      <c r="AE19" s="192">
        <v>48.27</v>
      </c>
      <c r="AF19" s="182" t="s">
        <v>7</v>
      </c>
      <c r="AG19" s="128"/>
      <c r="AH19" s="137"/>
      <c r="AI19" s="137"/>
      <c r="AJ19" s="228"/>
      <c r="AK19" s="224"/>
      <c r="AL19" s="143">
        <v>4.5</v>
      </c>
      <c r="AM19" s="145">
        <v>3.2</v>
      </c>
      <c r="AN19" s="145">
        <v>4</v>
      </c>
      <c r="AO19" s="230">
        <v>3.8</v>
      </c>
      <c r="AP19" s="226">
        <v>3.8</v>
      </c>
      <c r="AQ19" s="143">
        <v>4.5</v>
      </c>
      <c r="AR19" s="145">
        <v>3.2</v>
      </c>
      <c r="AS19" s="145">
        <v>4</v>
      </c>
      <c r="AT19" s="230">
        <v>5</v>
      </c>
      <c r="AU19" s="226">
        <v>3.8</v>
      </c>
      <c r="AV19" s="288"/>
    </row>
    <row r="20" spans="1:48" ht="48" customHeight="1">
      <c r="A20" s="32" t="s">
        <v>191</v>
      </c>
      <c r="B20" s="30" t="s">
        <v>193</v>
      </c>
      <c r="C20" s="252" t="s">
        <v>455</v>
      </c>
      <c r="D20" s="41" t="s">
        <v>391</v>
      </c>
      <c r="E20" s="161" t="s">
        <v>313</v>
      </c>
      <c r="F20" s="167" t="s">
        <v>22</v>
      </c>
      <c r="G20" s="170" t="s">
        <v>365</v>
      </c>
      <c r="H20" s="67"/>
      <c r="I20" s="183"/>
      <c r="J20" s="78"/>
      <c r="K20" s="231"/>
      <c r="L20" s="191"/>
      <c r="M20" s="234"/>
      <c r="N20" s="191"/>
      <c r="O20" s="181"/>
      <c r="P20" s="99" t="s">
        <v>336</v>
      </c>
      <c r="Q20" s="104" t="s">
        <v>1</v>
      </c>
      <c r="R20" s="238" t="s">
        <v>1</v>
      </c>
      <c r="S20" s="207">
        <v>54</v>
      </c>
      <c r="T20" s="104" t="s">
        <v>1</v>
      </c>
      <c r="U20" s="238" t="s">
        <v>1</v>
      </c>
      <c r="V20" s="207">
        <v>48.82</v>
      </c>
      <c r="W20" s="182" t="s">
        <v>7</v>
      </c>
      <c r="X20" s="99" t="s">
        <v>336</v>
      </c>
      <c r="Y20" s="104" t="s">
        <v>1</v>
      </c>
      <c r="Z20" s="235" t="s">
        <v>1</v>
      </c>
      <c r="AA20" s="192">
        <v>497</v>
      </c>
      <c r="AB20" s="235" t="s">
        <v>1</v>
      </c>
      <c r="AC20" s="192">
        <v>68.94</v>
      </c>
      <c r="AD20" s="235" t="s">
        <v>1</v>
      </c>
      <c r="AE20" s="192">
        <v>45.38</v>
      </c>
      <c r="AF20" s="182" t="s">
        <v>7</v>
      </c>
      <c r="AG20" s="128"/>
      <c r="AH20" s="137"/>
      <c r="AI20" s="137"/>
      <c r="AJ20" s="228"/>
      <c r="AK20" s="224"/>
      <c r="AL20" s="143">
        <v>4.2</v>
      </c>
      <c r="AM20" s="145">
        <v>4.2</v>
      </c>
      <c r="AN20" s="145">
        <v>4.3</v>
      </c>
      <c r="AO20" s="230">
        <v>4.3</v>
      </c>
      <c r="AP20" s="226">
        <v>3</v>
      </c>
      <c r="AQ20" s="143">
        <v>4.2</v>
      </c>
      <c r="AR20" s="145">
        <v>4.3</v>
      </c>
      <c r="AS20" s="145">
        <v>4.3</v>
      </c>
      <c r="AT20" s="230">
        <v>4.8</v>
      </c>
      <c r="AU20" s="226">
        <v>3</v>
      </c>
      <c r="AV20" s="288"/>
    </row>
    <row r="21" spans="1:48" ht="48" customHeight="1">
      <c r="A21" s="32" t="s">
        <v>191</v>
      </c>
      <c r="B21" s="30" t="s">
        <v>193</v>
      </c>
      <c r="C21" s="248" t="s">
        <v>466</v>
      </c>
      <c r="D21" s="41" t="s">
        <v>411</v>
      </c>
      <c r="E21" s="161" t="s">
        <v>313</v>
      </c>
      <c r="F21" s="167" t="s">
        <v>4</v>
      </c>
      <c r="G21" s="170" t="s">
        <v>365</v>
      </c>
      <c r="H21" s="70"/>
      <c r="I21" s="184"/>
      <c r="J21" s="78"/>
      <c r="K21" s="231"/>
      <c r="L21" s="191"/>
      <c r="M21" s="234"/>
      <c r="N21" s="191"/>
      <c r="O21" s="181"/>
      <c r="P21" s="99" t="s">
        <v>336</v>
      </c>
      <c r="Q21" s="204" t="s">
        <v>0</v>
      </c>
      <c r="R21" s="238" t="s">
        <v>1</v>
      </c>
      <c r="S21" s="207">
        <v>59</v>
      </c>
      <c r="T21" s="104" t="s">
        <v>1</v>
      </c>
      <c r="U21" s="238" t="s">
        <v>1</v>
      </c>
      <c r="V21" s="207">
        <v>45.57</v>
      </c>
      <c r="W21" s="182" t="s">
        <v>3</v>
      </c>
      <c r="X21" s="99" t="s">
        <v>336</v>
      </c>
      <c r="Y21" s="204" t="s">
        <v>0</v>
      </c>
      <c r="Z21" s="235" t="s">
        <v>1</v>
      </c>
      <c r="AA21" s="192">
        <v>514</v>
      </c>
      <c r="AB21" s="235" t="s">
        <v>1</v>
      </c>
      <c r="AC21" s="192">
        <v>58.44</v>
      </c>
      <c r="AD21" s="235" t="s">
        <v>1</v>
      </c>
      <c r="AE21" s="199">
        <v>47.4</v>
      </c>
      <c r="AF21" s="182" t="s">
        <v>3</v>
      </c>
      <c r="AG21" s="128"/>
      <c r="AH21" s="137"/>
      <c r="AI21" s="137"/>
      <c r="AJ21" s="228"/>
      <c r="AK21" s="224"/>
      <c r="AL21" s="143">
        <v>4.3</v>
      </c>
      <c r="AM21" s="145">
        <v>4.8</v>
      </c>
      <c r="AN21" s="145">
        <v>4</v>
      </c>
      <c r="AO21" s="230">
        <v>4.3</v>
      </c>
      <c r="AP21" s="226">
        <v>3.4</v>
      </c>
      <c r="AQ21" s="143">
        <v>4.3</v>
      </c>
      <c r="AR21" s="145">
        <v>4.8</v>
      </c>
      <c r="AS21" s="145">
        <v>4</v>
      </c>
      <c r="AT21" s="230">
        <v>4.5</v>
      </c>
      <c r="AU21" s="226">
        <v>3.4</v>
      </c>
      <c r="AV21" s="288"/>
    </row>
    <row r="22" spans="1:48" ht="48" customHeight="1">
      <c r="A22" s="32" t="s">
        <v>191</v>
      </c>
      <c r="B22" s="30" t="s">
        <v>193</v>
      </c>
      <c r="C22" s="250" t="s">
        <v>36</v>
      </c>
      <c r="D22" s="243" t="s">
        <v>385</v>
      </c>
      <c r="E22" s="160" t="s">
        <v>313</v>
      </c>
      <c r="F22" s="166" t="s">
        <v>32</v>
      </c>
      <c r="G22" s="168" t="s">
        <v>335</v>
      </c>
      <c r="H22" s="70"/>
      <c r="I22" s="183"/>
      <c r="J22" s="78"/>
      <c r="K22" s="231"/>
      <c r="L22" s="191"/>
      <c r="M22" s="234"/>
      <c r="N22" s="191"/>
      <c r="O22" s="181"/>
      <c r="P22" s="66" t="s">
        <v>336</v>
      </c>
      <c r="Q22" s="200" t="s">
        <v>1</v>
      </c>
      <c r="R22" s="238" t="s">
        <v>1</v>
      </c>
      <c r="S22" s="207">
        <v>44</v>
      </c>
      <c r="T22" s="104" t="s">
        <v>1</v>
      </c>
      <c r="U22" s="238" t="s">
        <v>1</v>
      </c>
      <c r="V22" s="207">
        <v>48.24</v>
      </c>
      <c r="W22" s="194" t="s">
        <v>7</v>
      </c>
      <c r="X22" s="99" t="s">
        <v>339</v>
      </c>
      <c r="Y22" s="200" t="s">
        <v>1</v>
      </c>
      <c r="Z22" s="235" t="s">
        <v>6</v>
      </c>
      <c r="AA22" s="192">
        <v>624</v>
      </c>
      <c r="AB22" s="235" t="s">
        <v>6</v>
      </c>
      <c r="AC22" s="192">
        <v>83.56</v>
      </c>
      <c r="AD22" s="235" t="s">
        <v>1</v>
      </c>
      <c r="AE22" s="192">
        <v>45.42</v>
      </c>
      <c r="AF22" s="194" t="s">
        <v>7</v>
      </c>
      <c r="AG22" s="128"/>
      <c r="AH22" s="137"/>
      <c r="AI22" s="137"/>
      <c r="AJ22" s="228"/>
      <c r="AK22" s="224"/>
      <c r="AL22" s="222">
        <v>3.5</v>
      </c>
      <c r="AM22" s="223">
        <v>4</v>
      </c>
      <c r="AN22" s="223">
        <v>4</v>
      </c>
      <c r="AO22" s="229">
        <v>5</v>
      </c>
      <c r="AP22" s="225">
        <v>4.8</v>
      </c>
      <c r="AQ22" s="222">
        <v>3.5</v>
      </c>
      <c r="AR22" s="223">
        <v>4</v>
      </c>
      <c r="AS22" s="223">
        <v>4</v>
      </c>
      <c r="AT22" s="229">
        <v>5</v>
      </c>
      <c r="AU22" s="225">
        <v>4.8</v>
      </c>
      <c r="AV22" s="288"/>
    </row>
    <row r="23" spans="1:48" ht="48" customHeight="1">
      <c r="A23" s="32" t="s">
        <v>191</v>
      </c>
      <c r="B23" s="30" t="s">
        <v>193</v>
      </c>
      <c r="C23" s="248" t="s">
        <v>460</v>
      </c>
      <c r="D23" s="243" t="s">
        <v>399</v>
      </c>
      <c r="E23" s="160" t="s">
        <v>313</v>
      </c>
      <c r="F23" s="166" t="s">
        <v>9</v>
      </c>
      <c r="G23" s="170" t="s">
        <v>365</v>
      </c>
      <c r="H23" s="70"/>
      <c r="I23" s="183"/>
      <c r="J23" s="78"/>
      <c r="K23" s="231"/>
      <c r="L23" s="191"/>
      <c r="M23" s="234"/>
      <c r="N23" s="191"/>
      <c r="O23" s="181"/>
      <c r="P23" s="99" t="s">
        <v>336</v>
      </c>
      <c r="Q23" s="200" t="s">
        <v>1</v>
      </c>
      <c r="R23" s="238" t="s">
        <v>1</v>
      </c>
      <c r="S23" s="207">
        <v>59</v>
      </c>
      <c r="T23" s="104" t="s">
        <v>1</v>
      </c>
      <c r="U23" s="238" t="s">
        <v>1</v>
      </c>
      <c r="V23" s="207">
        <v>49.96</v>
      </c>
      <c r="W23" s="194" t="s">
        <v>7</v>
      </c>
      <c r="X23" s="64" t="s">
        <v>337</v>
      </c>
      <c r="Y23" s="200" t="s">
        <v>1</v>
      </c>
      <c r="Z23" s="235" t="s">
        <v>6</v>
      </c>
      <c r="AA23" s="192">
        <v>591</v>
      </c>
      <c r="AB23" s="235" t="s">
        <v>1</v>
      </c>
      <c r="AC23" s="192">
        <v>66.739999999999995</v>
      </c>
      <c r="AD23" s="235" t="s">
        <v>1</v>
      </c>
      <c r="AE23" s="192">
        <v>48.26</v>
      </c>
      <c r="AF23" s="194" t="s">
        <v>7</v>
      </c>
      <c r="AG23" s="128"/>
      <c r="AH23" s="137"/>
      <c r="AI23" s="137"/>
      <c r="AJ23" s="228"/>
      <c r="AK23" s="224"/>
      <c r="AL23" s="222">
        <v>4.3</v>
      </c>
      <c r="AM23" s="223">
        <v>3.5</v>
      </c>
      <c r="AN23" s="223">
        <v>4</v>
      </c>
      <c r="AO23" s="229">
        <v>2.8</v>
      </c>
      <c r="AP23" s="225">
        <v>3.2</v>
      </c>
      <c r="AQ23" s="222">
        <v>4.3</v>
      </c>
      <c r="AR23" s="223">
        <v>3.3</v>
      </c>
      <c r="AS23" s="223">
        <v>4</v>
      </c>
      <c r="AT23" s="229">
        <v>5</v>
      </c>
      <c r="AU23" s="225">
        <v>3.2</v>
      </c>
      <c r="AV23" s="288"/>
    </row>
    <row r="24" spans="1:48" ht="48" customHeight="1">
      <c r="A24" s="32" t="s">
        <v>191</v>
      </c>
      <c r="B24" s="30" t="s">
        <v>193</v>
      </c>
      <c r="C24" s="252" t="s">
        <v>456</v>
      </c>
      <c r="D24" s="41" t="s">
        <v>394</v>
      </c>
      <c r="E24" s="161" t="s">
        <v>301</v>
      </c>
      <c r="F24" s="167" t="s">
        <v>11</v>
      </c>
      <c r="G24" s="172" t="s">
        <v>365</v>
      </c>
      <c r="H24" s="70"/>
      <c r="I24" s="183"/>
      <c r="J24" s="78"/>
      <c r="K24" s="231"/>
      <c r="L24" s="191"/>
      <c r="M24" s="234"/>
      <c r="N24" s="191"/>
      <c r="O24" s="181"/>
      <c r="P24" s="99" t="s">
        <v>336</v>
      </c>
      <c r="Q24" s="104" t="s">
        <v>1</v>
      </c>
      <c r="R24" s="238" t="s">
        <v>1</v>
      </c>
      <c r="S24" s="207">
        <v>59</v>
      </c>
      <c r="T24" s="104" t="s">
        <v>1</v>
      </c>
      <c r="U24" s="238" t="s">
        <v>1</v>
      </c>
      <c r="V24" s="207">
        <v>46.88</v>
      </c>
      <c r="W24" s="182" t="s">
        <v>7</v>
      </c>
      <c r="X24" s="64" t="s">
        <v>337</v>
      </c>
      <c r="Y24" s="104" t="s">
        <v>1</v>
      </c>
      <c r="Z24" s="235" t="s">
        <v>6</v>
      </c>
      <c r="AA24" s="192">
        <v>630</v>
      </c>
      <c r="AB24" s="235" t="s">
        <v>1</v>
      </c>
      <c r="AC24" s="192">
        <v>77.55</v>
      </c>
      <c r="AD24" s="235" t="s">
        <v>1</v>
      </c>
      <c r="AE24" s="192">
        <v>44.07</v>
      </c>
      <c r="AF24" s="182" t="s">
        <v>7</v>
      </c>
      <c r="AG24" s="128"/>
      <c r="AH24" s="137"/>
      <c r="AI24" s="137"/>
      <c r="AJ24" s="228"/>
      <c r="AK24" s="224"/>
      <c r="AL24" s="143">
        <v>4.3</v>
      </c>
      <c r="AM24" s="145">
        <v>3.5</v>
      </c>
      <c r="AN24" s="145">
        <v>3.7</v>
      </c>
      <c r="AO24" s="230">
        <v>4</v>
      </c>
      <c r="AP24" s="226">
        <v>4.2</v>
      </c>
      <c r="AQ24" s="143">
        <v>4.3</v>
      </c>
      <c r="AR24" s="145">
        <v>3.5</v>
      </c>
      <c r="AS24" s="145">
        <v>3.7</v>
      </c>
      <c r="AT24" s="230">
        <v>4.8</v>
      </c>
      <c r="AU24" s="226">
        <v>4.2</v>
      </c>
      <c r="AV24" s="288"/>
    </row>
    <row r="25" spans="1:48" ht="48" customHeight="1">
      <c r="A25" s="32" t="s">
        <v>191</v>
      </c>
      <c r="B25" s="30" t="s">
        <v>193</v>
      </c>
      <c r="C25" s="248" t="s">
        <v>467</v>
      </c>
      <c r="D25" s="41" t="s">
        <v>412</v>
      </c>
      <c r="E25" s="161" t="s">
        <v>313</v>
      </c>
      <c r="F25" s="167" t="s">
        <v>4</v>
      </c>
      <c r="G25" s="170" t="s">
        <v>365</v>
      </c>
      <c r="H25" s="70"/>
      <c r="I25" s="184"/>
      <c r="J25" s="78"/>
      <c r="K25" s="231"/>
      <c r="L25" s="191"/>
      <c r="M25" s="234"/>
      <c r="N25" s="191"/>
      <c r="O25" s="181"/>
      <c r="P25" s="99" t="s">
        <v>336</v>
      </c>
      <c r="Q25" s="204" t="s">
        <v>0</v>
      </c>
      <c r="R25" s="238" t="s">
        <v>1</v>
      </c>
      <c r="S25" s="207">
        <v>50</v>
      </c>
      <c r="T25" s="104" t="s">
        <v>1</v>
      </c>
      <c r="U25" s="238" t="s">
        <v>1</v>
      </c>
      <c r="V25" s="207">
        <v>50.66</v>
      </c>
      <c r="W25" s="182" t="s">
        <v>3</v>
      </c>
      <c r="X25" s="64" t="s">
        <v>337</v>
      </c>
      <c r="Y25" s="204" t="s">
        <v>0</v>
      </c>
      <c r="Z25" s="235" t="s">
        <v>6</v>
      </c>
      <c r="AA25" s="192">
        <v>583</v>
      </c>
      <c r="AB25" s="235" t="s">
        <v>1</v>
      </c>
      <c r="AC25" s="192">
        <v>67.34</v>
      </c>
      <c r="AD25" s="235" t="s">
        <v>1</v>
      </c>
      <c r="AE25" s="199">
        <v>51.9</v>
      </c>
      <c r="AF25" s="182" t="s">
        <v>3</v>
      </c>
      <c r="AG25" s="128"/>
      <c r="AH25" s="137"/>
      <c r="AI25" s="137"/>
      <c r="AJ25" s="228"/>
      <c r="AK25" s="224"/>
      <c r="AL25" s="143">
        <v>4.5</v>
      </c>
      <c r="AM25" s="145">
        <v>4.3</v>
      </c>
      <c r="AN25" s="145">
        <v>4</v>
      </c>
      <c r="AO25" s="230">
        <v>4.3</v>
      </c>
      <c r="AP25" s="226">
        <v>3</v>
      </c>
      <c r="AQ25" s="143">
        <v>4.5</v>
      </c>
      <c r="AR25" s="145">
        <v>4.3</v>
      </c>
      <c r="AS25" s="145">
        <v>4</v>
      </c>
      <c r="AT25" s="230">
        <v>4.8</v>
      </c>
      <c r="AU25" s="226">
        <v>3</v>
      </c>
      <c r="AV25" s="288"/>
    </row>
    <row r="26" spans="1:48" ht="48" customHeight="1">
      <c r="A26" s="32" t="s">
        <v>191</v>
      </c>
      <c r="B26" s="30" t="s">
        <v>193</v>
      </c>
      <c r="C26" s="248" t="s">
        <v>471</v>
      </c>
      <c r="D26" s="41" t="s">
        <v>416</v>
      </c>
      <c r="E26" s="161" t="s">
        <v>390</v>
      </c>
      <c r="F26" s="167" t="s">
        <v>18</v>
      </c>
      <c r="G26" s="170" t="s">
        <v>365</v>
      </c>
      <c r="H26" s="67"/>
      <c r="I26" s="184"/>
      <c r="J26" s="78"/>
      <c r="K26" s="231"/>
      <c r="L26" s="191"/>
      <c r="M26" s="234"/>
      <c r="N26" s="191"/>
      <c r="O26" s="181"/>
      <c r="P26" s="66" t="s">
        <v>336</v>
      </c>
      <c r="Q26" s="204" t="s">
        <v>0</v>
      </c>
      <c r="R26" s="238" t="s">
        <v>1</v>
      </c>
      <c r="S26" s="207">
        <v>54</v>
      </c>
      <c r="T26" s="104" t="s">
        <v>1</v>
      </c>
      <c r="U26" s="238" t="s">
        <v>1</v>
      </c>
      <c r="V26" s="207">
        <v>53.64</v>
      </c>
      <c r="W26" s="182" t="s">
        <v>3</v>
      </c>
      <c r="X26" s="66" t="s">
        <v>339</v>
      </c>
      <c r="Y26" s="204" t="s">
        <v>6</v>
      </c>
      <c r="Z26" s="235" t="s">
        <v>6</v>
      </c>
      <c r="AA26" s="192">
        <v>559</v>
      </c>
      <c r="AB26" s="235" t="s">
        <v>6</v>
      </c>
      <c r="AC26" s="192">
        <v>85.01</v>
      </c>
      <c r="AD26" s="235" t="s">
        <v>1</v>
      </c>
      <c r="AE26" s="192">
        <v>46.01</v>
      </c>
      <c r="AF26" s="182" t="s">
        <v>3</v>
      </c>
      <c r="AG26" s="128"/>
      <c r="AH26" s="137"/>
      <c r="AI26" s="137"/>
      <c r="AJ26" s="228"/>
      <c r="AK26" s="224"/>
      <c r="AL26" s="143">
        <v>3.7</v>
      </c>
      <c r="AM26" s="145">
        <v>3.8</v>
      </c>
      <c r="AN26" s="145">
        <v>3.7</v>
      </c>
      <c r="AO26" s="230">
        <v>4.8</v>
      </c>
      <c r="AP26" s="226">
        <v>4</v>
      </c>
      <c r="AQ26" s="143">
        <v>3.7</v>
      </c>
      <c r="AR26" s="145">
        <v>3.8</v>
      </c>
      <c r="AS26" s="145">
        <v>3.7</v>
      </c>
      <c r="AT26" s="230">
        <v>5</v>
      </c>
      <c r="AU26" s="226">
        <v>4</v>
      </c>
      <c r="AV26" s="288" t="s">
        <v>361</v>
      </c>
    </row>
    <row r="27" spans="1:48" ht="48" customHeight="1">
      <c r="A27" s="32" t="s">
        <v>191</v>
      </c>
      <c r="B27" s="30" t="s">
        <v>193</v>
      </c>
      <c r="C27" s="248" t="s">
        <v>478</v>
      </c>
      <c r="D27" s="41" t="s">
        <v>273</v>
      </c>
      <c r="E27" s="161" t="s">
        <v>390</v>
      </c>
      <c r="F27" s="167" t="s">
        <v>5</v>
      </c>
      <c r="G27" s="170" t="s">
        <v>365</v>
      </c>
      <c r="H27" s="175"/>
      <c r="I27" s="183"/>
      <c r="J27" s="78"/>
      <c r="K27" s="231"/>
      <c r="L27" s="191"/>
      <c r="M27" s="234"/>
      <c r="N27" s="191"/>
      <c r="O27" s="181"/>
      <c r="P27" s="66" t="s">
        <v>336</v>
      </c>
      <c r="Q27" s="104" t="s">
        <v>1</v>
      </c>
      <c r="R27" s="238" t="s">
        <v>1</v>
      </c>
      <c r="S27" s="207">
        <v>49</v>
      </c>
      <c r="T27" s="104" t="s">
        <v>1</v>
      </c>
      <c r="U27" s="238" t="s">
        <v>1</v>
      </c>
      <c r="V27" s="207">
        <v>45.08</v>
      </c>
      <c r="W27" s="182" t="s">
        <v>3</v>
      </c>
      <c r="X27" s="64" t="s">
        <v>337</v>
      </c>
      <c r="Y27" s="104" t="s">
        <v>1</v>
      </c>
      <c r="Z27" s="235" t="s">
        <v>6</v>
      </c>
      <c r="AA27" s="192">
        <v>619</v>
      </c>
      <c r="AB27" s="235" t="s">
        <v>1</v>
      </c>
      <c r="AC27" s="192">
        <v>76.36</v>
      </c>
      <c r="AD27" s="235" t="s">
        <v>1</v>
      </c>
      <c r="AE27" s="192">
        <v>42.87</v>
      </c>
      <c r="AF27" s="218" t="s">
        <v>210</v>
      </c>
      <c r="AG27" s="128"/>
      <c r="AH27" s="137"/>
      <c r="AI27" s="137"/>
      <c r="AJ27" s="228"/>
      <c r="AK27" s="224"/>
      <c r="AL27" s="143">
        <v>4.2</v>
      </c>
      <c r="AM27" s="145">
        <v>4.3</v>
      </c>
      <c r="AN27" s="145">
        <v>4</v>
      </c>
      <c r="AO27" s="230">
        <v>4.8</v>
      </c>
      <c r="AP27" s="226">
        <v>3.7</v>
      </c>
      <c r="AQ27" s="143">
        <v>4.2</v>
      </c>
      <c r="AR27" s="145">
        <v>4.3</v>
      </c>
      <c r="AS27" s="145">
        <v>4</v>
      </c>
      <c r="AT27" s="230">
        <v>5</v>
      </c>
      <c r="AU27" s="226">
        <v>3.7</v>
      </c>
      <c r="AV27" s="288" t="s">
        <v>362</v>
      </c>
    </row>
    <row r="28" spans="1:48" ht="48" customHeight="1">
      <c r="A28" s="32" t="s">
        <v>191</v>
      </c>
      <c r="B28" s="30" t="s">
        <v>193</v>
      </c>
      <c r="C28" s="248" t="s">
        <v>468</v>
      </c>
      <c r="D28" s="41" t="s">
        <v>413</v>
      </c>
      <c r="E28" s="161" t="s">
        <v>390</v>
      </c>
      <c r="F28" s="167" t="s">
        <v>4</v>
      </c>
      <c r="G28" s="170" t="s">
        <v>365</v>
      </c>
      <c r="H28" s="70"/>
      <c r="I28" s="184"/>
      <c r="J28" s="78"/>
      <c r="K28" s="231"/>
      <c r="L28" s="191"/>
      <c r="M28" s="234"/>
      <c r="N28" s="191"/>
      <c r="O28" s="181"/>
      <c r="P28" s="66" t="s">
        <v>336</v>
      </c>
      <c r="Q28" s="204" t="s">
        <v>0</v>
      </c>
      <c r="R28" s="238" t="s">
        <v>1</v>
      </c>
      <c r="S28" s="207">
        <v>55</v>
      </c>
      <c r="T28" s="104" t="s">
        <v>1</v>
      </c>
      <c r="U28" s="238" t="s">
        <v>1</v>
      </c>
      <c r="V28" s="207">
        <v>49.57</v>
      </c>
      <c r="W28" s="182" t="s">
        <v>3</v>
      </c>
      <c r="X28" s="64" t="s">
        <v>337</v>
      </c>
      <c r="Y28" s="204" t="s">
        <v>0</v>
      </c>
      <c r="Z28" s="235" t="s">
        <v>6</v>
      </c>
      <c r="AA28" s="192">
        <v>567</v>
      </c>
      <c r="AB28" s="235" t="s">
        <v>1</v>
      </c>
      <c r="AC28" s="192">
        <v>76.66</v>
      </c>
      <c r="AD28" s="235" t="s">
        <v>1</v>
      </c>
      <c r="AE28" s="192">
        <v>47.68</v>
      </c>
      <c r="AF28" s="182" t="s">
        <v>3</v>
      </c>
      <c r="AG28" s="128"/>
      <c r="AH28" s="137"/>
      <c r="AI28" s="137"/>
      <c r="AJ28" s="228"/>
      <c r="AK28" s="224"/>
      <c r="AL28" s="143">
        <v>4.3</v>
      </c>
      <c r="AM28" s="145">
        <v>4.3</v>
      </c>
      <c r="AN28" s="145">
        <v>4</v>
      </c>
      <c r="AO28" s="230">
        <v>4.8</v>
      </c>
      <c r="AP28" s="226">
        <v>3.4</v>
      </c>
      <c r="AQ28" s="143">
        <v>4.3</v>
      </c>
      <c r="AR28" s="145">
        <v>4.3</v>
      </c>
      <c r="AS28" s="145">
        <v>4</v>
      </c>
      <c r="AT28" s="230">
        <v>5</v>
      </c>
      <c r="AU28" s="226">
        <v>3.8</v>
      </c>
      <c r="AV28" s="288"/>
    </row>
    <row r="29" spans="1:48" ht="48" customHeight="1">
      <c r="A29" s="32" t="s">
        <v>191</v>
      </c>
      <c r="B29" s="30" t="s">
        <v>193</v>
      </c>
      <c r="C29" s="248" t="s">
        <v>479</v>
      </c>
      <c r="D29" s="245" t="s">
        <v>449</v>
      </c>
      <c r="E29" s="161" t="s">
        <v>390</v>
      </c>
      <c r="F29" s="167" t="s">
        <v>5</v>
      </c>
      <c r="G29" s="170" t="s">
        <v>365</v>
      </c>
      <c r="H29" s="175"/>
      <c r="I29" s="183"/>
      <c r="J29" s="78"/>
      <c r="K29" s="231"/>
      <c r="L29" s="191"/>
      <c r="M29" s="234"/>
      <c r="N29" s="191"/>
      <c r="O29" s="181"/>
      <c r="P29" s="66" t="s">
        <v>336</v>
      </c>
      <c r="Q29" s="104" t="s">
        <v>1</v>
      </c>
      <c r="R29" s="238" t="s">
        <v>1</v>
      </c>
      <c r="S29" s="207">
        <v>49</v>
      </c>
      <c r="T29" s="104" t="s">
        <v>1</v>
      </c>
      <c r="U29" s="238" t="s">
        <v>1</v>
      </c>
      <c r="V29" s="207">
        <v>47.26</v>
      </c>
      <c r="W29" s="182" t="s">
        <v>3</v>
      </c>
      <c r="X29" s="64" t="s">
        <v>337</v>
      </c>
      <c r="Y29" s="104" t="s">
        <v>1</v>
      </c>
      <c r="Z29" s="235" t="s">
        <v>6</v>
      </c>
      <c r="AA29" s="192">
        <v>620</v>
      </c>
      <c r="AB29" s="235" t="s">
        <v>1</v>
      </c>
      <c r="AC29" s="192">
        <v>78.69</v>
      </c>
      <c r="AD29" s="235" t="s">
        <v>1</v>
      </c>
      <c r="AE29" s="192">
        <v>46.83</v>
      </c>
      <c r="AF29" s="218" t="s">
        <v>210</v>
      </c>
      <c r="AG29" s="128"/>
      <c r="AH29" s="137"/>
      <c r="AI29" s="137"/>
      <c r="AJ29" s="228"/>
      <c r="AK29" s="224"/>
      <c r="AL29" s="143">
        <v>4.2</v>
      </c>
      <c r="AM29" s="145">
        <v>4.3</v>
      </c>
      <c r="AN29" s="145">
        <v>4</v>
      </c>
      <c r="AO29" s="230">
        <v>4.8</v>
      </c>
      <c r="AP29" s="226">
        <v>3.7</v>
      </c>
      <c r="AQ29" s="143">
        <v>4.2</v>
      </c>
      <c r="AR29" s="145">
        <v>4.3</v>
      </c>
      <c r="AS29" s="145">
        <v>4</v>
      </c>
      <c r="AT29" s="230">
        <v>5</v>
      </c>
      <c r="AU29" s="226">
        <v>3.7</v>
      </c>
      <c r="AV29" s="288" t="s">
        <v>362</v>
      </c>
    </row>
    <row r="30" spans="1:48" ht="48" customHeight="1">
      <c r="A30" s="32" t="s">
        <v>191</v>
      </c>
      <c r="B30" s="30" t="s">
        <v>193</v>
      </c>
      <c r="C30" s="248" t="s">
        <v>470</v>
      </c>
      <c r="D30" s="41" t="s">
        <v>415</v>
      </c>
      <c r="E30" s="161" t="s">
        <v>239</v>
      </c>
      <c r="F30" s="167" t="s">
        <v>18</v>
      </c>
      <c r="G30" s="170" t="s">
        <v>365</v>
      </c>
      <c r="H30" s="70"/>
      <c r="I30" s="184"/>
      <c r="J30" s="78"/>
      <c r="K30" s="231"/>
      <c r="L30" s="191"/>
      <c r="M30" s="234"/>
      <c r="N30" s="191"/>
      <c r="O30" s="181"/>
      <c r="P30" s="99" t="s">
        <v>336</v>
      </c>
      <c r="Q30" s="204" t="s">
        <v>0</v>
      </c>
      <c r="R30" s="238" t="s">
        <v>1</v>
      </c>
      <c r="S30" s="207">
        <v>58</v>
      </c>
      <c r="T30" s="104" t="s">
        <v>1</v>
      </c>
      <c r="U30" s="238" t="s">
        <v>1</v>
      </c>
      <c r="V30" s="207">
        <v>54.11</v>
      </c>
      <c r="W30" s="182" t="s">
        <v>3</v>
      </c>
      <c r="X30" s="66" t="s">
        <v>339</v>
      </c>
      <c r="Y30" s="204" t="s">
        <v>6</v>
      </c>
      <c r="Z30" s="235" t="s">
        <v>6</v>
      </c>
      <c r="AA30" s="192">
        <v>605</v>
      </c>
      <c r="AB30" s="235" t="s">
        <v>1</v>
      </c>
      <c r="AC30" s="192">
        <v>68.94</v>
      </c>
      <c r="AD30" s="235" t="s">
        <v>1</v>
      </c>
      <c r="AE30" s="192">
        <v>58.96</v>
      </c>
      <c r="AF30" s="182" t="s">
        <v>3</v>
      </c>
      <c r="AG30" s="128"/>
      <c r="AH30" s="137"/>
      <c r="AI30" s="137"/>
      <c r="AJ30" s="228"/>
      <c r="AK30" s="224"/>
      <c r="AL30" s="143">
        <v>3.8</v>
      </c>
      <c r="AM30" s="145">
        <v>3.7</v>
      </c>
      <c r="AN30" s="145">
        <v>5</v>
      </c>
      <c r="AO30" s="230">
        <v>4.3</v>
      </c>
      <c r="AP30" s="226">
        <v>4</v>
      </c>
      <c r="AQ30" s="143">
        <v>3.8</v>
      </c>
      <c r="AR30" s="145">
        <v>3.7</v>
      </c>
      <c r="AS30" s="145">
        <v>5</v>
      </c>
      <c r="AT30" s="230">
        <v>3.5</v>
      </c>
      <c r="AU30" s="226">
        <v>4</v>
      </c>
      <c r="AV30" s="288"/>
    </row>
    <row r="31" spans="1:48" ht="48" customHeight="1">
      <c r="A31" s="32" t="s">
        <v>191</v>
      </c>
      <c r="B31" s="30" t="s">
        <v>193</v>
      </c>
      <c r="C31" s="248" t="s">
        <v>465</v>
      </c>
      <c r="D31" s="41" t="s">
        <v>405</v>
      </c>
      <c r="E31" s="161" t="s">
        <v>396</v>
      </c>
      <c r="F31" s="167" t="s">
        <v>4</v>
      </c>
      <c r="G31" s="170" t="s">
        <v>365</v>
      </c>
      <c r="H31" s="65" t="s">
        <v>337</v>
      </c>
      <c r="I31" s="188" t="s">
        <v>0</v>
      </c>
      <c r="J31" s="104" t="s">
        <v>1</v>
      </c>
      <c r="K31" s="232" t="s">
        <v>1</v>
      </c>
      <c r="L31" s="192">
        <v>380</v>
      </c>
      <c r="M31" s="235" t="s">
        <v>113</v>
      </c>
      <c r="N31" s="199">
        <v>64.2</v>
      </c>
      <c r="O31" s="182" t="s">
        <v>3</v>
      </c>
      <c r="P31" s="66" t="s">
        <v>336</v>
      </c>
      <c r="Q31" s="204" t="s">
        <v>0</v>
      </c>
      <c r="R31" s="238" t="s">
        <v>1</v>
      </c>
      <c r="S31" s="207">
        <v>49</v>
      </c>
      <c r="T31" s="104" t="s">
        <v>1</v>
      </c>
      <c r="U31" s="238" t="s">
        <v>1</v>
      </c>
      <c r="V31" s="207">
        <v>48.61</v>
      </c>
      <c r="W31" s="182" t="s">
        <v>3</v>
      </c>
      <c r="X31" s="66" t="s">
        <v>339</v>
      </c>
      <c r="Y31" s="204" t="s">
        <v>0</v>
      </c>
      <c r="Z31" s="235" t="s">
        <v>6</v>
      </c>
      <c r="AA31" s="192">
        <v>560</v>
      </c>
      <c r="AB31" s="235" t="s">
        <v>6</v>
      </c>
      <c r="AC31" s="192">
        <v>80.739999999999995</v>
      </c>
      <c r="AD31" s="235" t="s">
        <v>1</v>
      </c>
      <c r="AE31" s="192">
        <v>55.34</v>
      </c>
      <c r="AF31" s="182" t="s">
        <v>3</v>
      </c>
      <c r="AG31" s="143">
        <v>2.8</v>
      </c>
      <c r="AH31" s="145">
        <v>2.8</v>
      </c>
      <c r="AI31" s="145">
        <v>2.6</v>
      </c>
      <c r="AJ31" s="230">
        <v>2.2999999999999998</v>
      </c>
      <c r="AK31" s="226">
        <v>3.4</v>
      </c>
      <c r="AL31" s="143">
        <v>2.8</v>
      </c>
      <c r="AM31" s="145">
        <v>2.8</v>
      </c>
      <c r="AN31" s="145">
        <v>2.6</v>
      </c>
      <c r="AO31" s="230">
        <v>1.8</v>
      </c>
      <c r="AP31" s="226">
        <v>3</v>
      </c>
      <c r="AQ31" s="143">
        <v>2.8</v>
      </c>
      <c r="AR31" s="145">
        <v>2.8</v>
      </c>
      <c r="AS31" s="145">
        <v>2.6</v>
      </c>
      <c r="AT31" s="230">
        <v>2.8</v>
      </c>
      <c r="AU31" s="226">
        <v>3</v>
      </c>
      <c r="AV31" s="288"/>
    </row>
    <row r="32" spans="1:48" ht="48" customHeight="1">
      <c r="A32" s="32" t="s">
        <v>191</v>
      </c>
      <c r="B32" s="30" t="s">
        <v>193</v>
      </c>
      <c r="C32" s="249" t="s">
        <v>461</v>
      </c>
      <c r="D32" s="243" t="s">
        <v>401</v>
      </c>
      <c r="E32" s="160" t="s">
        <v>396</v>
      </c>
      <c r="F32" s="166" t="s">
        <v>9</v>
      </c>
      <c r="G32" s="170" t="s">
        <v>365</v>
      </c>
      <c r="H32" s="65" t="s">
        <v>337</v>
      </c>
      <c r="I32" s="185" t="s">
        <v>1</v>
      </c>
      <c r="J32" s="104" t="s">
        <v>1</v>
      </c>
      <c r="K32" s="232" t="s">
        <v>1</v>
      </c>
      <c r="L32" s="192">
        <v>490</v>
      </c>
      <c r="M32" s="235" t="s">
        <v>113</v>
      </c>
      <c r="N32" s="192">
        <v>64.42</v>
      </c>
      <c r="O32" s="194" t="s">
        <v>7</v>
      </c>
      <c r="P32" s="66" t="s">
        <v>336</v>
      </c>
      <c r="Q32" s="200" t="s">
        <v>1</v>
      </c>
      <c r="R32" s="238" t="s">
        <v>1</v>
      </c>
      <c r="S32" s="207">
        <v>55</v>
      </c>
      <c r="T32" s="104" t="s">
        <v>1</v>
      </c>
      <c r="U32" s="238" t="s">
        <v>1</v>
      </c>
      <c r="V32" s="207">
        <v>53.59</v>
      </c>
      <c r="W32" s="194" t="s">
        <v>7</v>
      </c>
      <c r="X32" s="64" t="s">
        <v>340</v>
      </c>
      <c r="Y32" s="200" t="s">
        <v>1</v>
      </c>
      <c r="Z32" s="235" t="s">
        <v>6</v>
      </c>
      <c r="AA32" s="192">
        <v>569</v>
      </c>
      <c r="AB32" s="235" t="s">
        <v>6</v>
      </c>
      <c r="AC32" s="192">
        <v>80.16</v>
      </c>
      <c r="AD32" s="235" t="s">
        <v>1</v>
      </c>
      <c r="AE32" s="192">
        <v>45.49</v>
      </c>
      <c r="AF32" s="201" t="s">
        <v>228</v>
      </c>
      <c r="AG32" s="222">
        <v>2.8</v>
      </c>
      <c r="AH32" s="223">
        <v>2.8</v>
      </c>
      <c r="AI32" s="223">
        <v>2.8</v>
      </c>
      <c r="AJ32" s="229">
        <v>2.8</v>
      </c>
      <c r="AK32" s="225">
        <v>3.4</v>
      </c>
      <c r="AL32" s="222">
        <v>2.8</v>
      </c>
      <c r="AM32" s="223">
        <v>2.8</v>
      </c>
      <c r="AN32" s="223">
        <v>2.8</v>
      </c>
      <c r="AO32" s="229">
        <v>1.8</v>
      </c>
      <c r="AP32" s="225">
        <v>3.4</v>
      </c>
      <c r="AQ32" s="222">
        <v>2.8</v>
      </c>
      <c r="AR32" s="223">
        <v>2.8</v>
      </c>
      <c r="AS32" s="223">
        <v>2.8</v>
      </c>
      <c r="AT32" s="229">
        <v>2.8</v>
      </c>
      <c r="AU32" s="225">
        <v>3.4</v>
      </c>
      <c r="AV32" s="288" t="s">
        <v>199</v>
      </c>
    </row>
    <row r="33" spans="1:48" ht="48" customHeight="1">
      <c r="A33" s="32" t="s">
        <v>191</v>
      </c>
      <c r="B33" s="30" t="s">
        <v>193</v>
      </c>
      <c r="C33" s="248" t="s">
        <v>474</v>
      </c>
      <c r="D33" s="41" t="s">
        <v>420</v>
      </c>
      <c r="E33" s="161" t="s">
        <v>396</v>
      </c>
      <c r="F33" s="167" t="s">
        <v>19</v>
      </c>
      <c r="G33" s="170" t="s">
        <v>365</v>
      </c>
      <c r="H33" s="64" t="s">
        <v>337</v>
      </c>
      <c r="I33" s="186" t="s">
        <v>1</v>
      </c>
      <c r="J33" s="104" t="s">
        <v>1</v>
      </c>
      <c r="K33" s="232" t="s">
        <v>1</v>
      </c>
      <c r="L33" s="242" t="s">
        <v>21</v>
      </c>
      <c r="M33" s="235" t="s">
        <v>6</v>
      </c>
      <c r="N33" s="192">
        <v>62.16</v>
      </c>
      <c r="O33" s="182" t="s">
        <v>3</v>
      </c>
      <c r="P33" s="99" t="s">
        <v>336</v>
      </c>
      <c r="Q33" s="104" t="s">
        <v>1</v>
      </c>
      <c r="R33" s="238" t="s">
        <v>1</v>
      </c>
      <c r="S33" s="207">
        <v>44</v>
      </c>
      <c r="T33" s="104" t="s">
        <v>1</v>
      </c>
      <c r="U33" s="238" t="s">
        <v>1</v>
      </c>
      <c r="V33" s="207">
        <v>83.67</v>
      </c>
      <c r="W33" s="182" t="s">
        <v>3</v>
      </c>
      <c r="X33" s="64" t="s">
        <v>337</v>
      </c>
      <c r="Y33" s="104" t="s">
        <v>1</v>
      </c>
      <c r="Z33" s="235" t="s">
        <v>6</v>
      </c>
      <c r="AA33" s="192">
        <v>619</v>
      </c>
      <c r="AB33" s="235" t="s">
        <v>1</v>
      </c>
      <c r="AC33" s="192">
        <v>79.61</v>
      </c>
      <c r="AD33" s="235" t="s">
        <v>1</v>
      </c>
      <c r="AE33" s="192">
        <v>47.85</v>
      </c>
      <c r="AF33" s="218" t="s">
        <v>210</v>
      </c>
      <c r="AG33" s="143">
        <v>2.7</v>
      </c>
      <c r="AH33" s="145">
        <v>2.7</v>
      </c>
      <c r="AI33" s="145">
        <v>2.6</v>
      </c>
      <c r="AJ33" s="230">
        <v>2.2999999999999998</v>
      </c>
      <c r="AK33" s="226">
        <v>3.2</v>
      </c>
      <c r="AL33" s="143">
        <v>2.7</v>
      </c>
      <c r="AM33" s="145">
        <v>2.7</v>
      </c>
      <c r="AN33" s="145">
        <v>2.6</v>
      </c>
      <c r="AO33" s="230">
        <v>1.8</v>
      </c>
      <c r="AP33" s="226">
        <v>3.2</v>
      </c>
      <c r="AQ33" s="143">
        <v>2.7</v>
      </c>
      <c r="AR33" s="145">
        <v>2.7</v>
      </c>
      <c r="AS33" s="145">
        <v>2.6</v>
      </c>
      <c r="AT33" s="230">
        <v>3</v>
      </c>
      <c r="AU33" s="226">
        <v>3.2</v>
      </c>
      <c r="AV33" s="288" t="s">
        <v>222</v>
      </c>
    </row>
    <row r="34" spans="1:48" ht="48" customHeight="1">
      <c r="A34" s="32" t="s">
        <v>191</v>
      </c>
      <c r="B34" s="30" t="s">
        <v>193</v>
      </c>
      <c r="C34" s="248" t="s">
        <v>462</v>
      </c>
      <c r="D34" s="243" t="s">
        <v>402</v>
      </c>
      <c r="E34" s="160" t="s">
        <v>396</v>
      </c>
      <c r="F34" s="166" t="s">
        <v>9</v>
      </c>
      <c r="G34" s="170" t="s">
        <v>365</v>
      </c>
      <c r="H34" s="65" t="s">
        <v>337</v>
      </c>
      <c r="I34" s="185" t="s">
        <v>1</v>
      </c>
      <c r="J34" s="104" t="s">
        <v>1</v>
      </c>
      <c r="K34" s="232" t="s">
        <v>1</v>
      </c>
      <c r="L34" s="192">
        <v>465</v>
      </c>
      <c r="M34" s="235" t="s">
        <v>113</v>
      </c>
      <c r="N34" s="192">
        <v>63.39</v>
      </c>
      <c r="O34" s="194" t="s">
        <v>7</v>
      </c>
      <c r="P34" s="66" t="s">
        <v>336</v>
      </c>
      <c r="Q34" s="200" t="s">
        <v>1</v>
      </c>
      <c r="R34" s="238" t="s">
        <v>1</v>
      </c>
      <c r="S34" s="207">
        <v>54</v>
      </c>
      <c r="T34" s="104" t="s">
        <v>1</v>
      </c>
      <c r="U34" s="238" t="s">
        <v>1</v>
      </c>
      <c r="V34" s="207">
        <v>52.67</v>
      </c>
      <c r="W34" s="194" t="s">
        <v>7</v>
      </c>
      <c r="X34" s="64" t="s">
        <v>337</v>
      </c>
      <c r="Y34" s="200" t="s">
        <v>1</v>
      </c>
      <c r="Z34" s="235" t="s">
        <v>6</v>
      </c>
      <c r="AA34" s="192">
        <v>597</v>
      </c>
      <c r="AB34" s="235" t="s">
        <v>1</v>
      </c>
      <c r="AC34" s="192">
        <v>79.83</v>
      </c>
      <c r="AD34" s="235" t="s">
        <v>1</v>
      </c>
      <c r="AE34" s="192">
        <v>47.33</v>
      </c>
      <c r="AF34" s="194" t="s">
        <v>7</v>
      </c>
      <c r="AG34" s="222">
        <v>3.2</v>
      </c>
      <c r="AH34" s="223">
        <v>2.8</v>
      </c>
      <c r="AI34" s="223">
        <v>2.8</v>
      </c>
      <c r="AJ34" s="229">
        <v>2.8</v>
      </c>
      <c r="AK34" s="225">
        <v>3.4</v>
      </c>
      <c r="AL34" s="222">
        <v>3.2</v>
      </c>
      <c r="AM34" s="223">
        <v>2.8</v>
      </c>
      <c r="AN34" s="223">
        <v>2.8</v>
      </c>
      <c r="AO34" s="229">
        <v>2.2999999999999998</v>
      </c>
      <c r="AP34" s="225">
        <v>3.8</v>
      </c>
      <c r="AQ34" s="222">
        <v>3.2</v>
      </c>
      <c r="AR34" s="223">
        <v>2.8</v>
      </c>
      <c r="AS34" s="223">
        <v>2.8</v>
      </c>
      <c r="AT34" s="229">
        <v>2.8</v>
      </c>
      <c r="AU34" s="225">
        <v>3.8</v>
      </c>
      <c r="AV34" s="288"/>
    </row>
    <row r="35" spans="1:48" ht="48" customHeight="1">
      <c r="A35" s="32" t="s">
        <v>191</v>
      </c>
      <c r="B35" s="30" t="s">
        <v>193</v>
      </c>
      <c r="C35" s="248" t="s">
        <v>472</v>
      </c>
      <c r="D35" s="41" t="s">
        <v>417</v>
      </c>
      <c r="E35" s="161" t="s">
        <v>313</v>
      </c>
      <c r="F35" s="167" t="s">
        <v>19</v>
      </c>
      <c r="G35" s="170" t="s">
        <v>365</v>
      </c>
      <c r="H35" s="70"/>
      <c r="I35" s="184"/>
      <c r="J35" s="78"/>
      <c r="K35" s="231"/>
      <c r="L35" s="191"/>
      <c r="M35" s="234"/>
      <c r="N35" s="191"/>
      <c r="O35" s="181"/>
      <c r="P35" s="66" t="s">
        <v>336</v>
      </c>
      <c r="Q35" s="204" t="s">
        <v>0</v>
      </c>
      <c r="R35" s="238" t="s">
        <v>1</v>
      </c>
      <c r="S35" s="207">
        <v>60</v>
      </c>
      <c r="T35" s="104" t="s">
        <v>1</v>
      </c>
      <c r="U35" s="238" t="s">
        <v>1</v>
      </c>
      <c r="V35" s="207">
        <v>49.51</v>
      </c>
      <c r="W35" s="182" t="s">
        <v>3</v>
      </c>
      <c r="X35" s="64" t="s">
        <v>337</v>
      </c>
      <c r="Y35" s="204" t="s">
        <v>0</v>
      </c>
      <c r="Z35" s="235" t="s">
        <v>6</v>
      </c>
      <c r="AA35" s="192">
        <v>617</v>
      </c>
      <c r="AB35" s="235" t="s">
        <v>1</v>
      </c>
      <c r="AC35" s="199">
        <v>70.7</v>
      </c>
      <c r="AD35" s="235" t="s">
        <v>1</v>
      </c>
      <c r="AE35" s="192">
        <v>51.53</v>
      </c>
      <c r="AF35" s="182" t="s">
        <v>3</v>
      </c>
      <c r="AG35" s="128"/>
      <c r="AH35" s="137"/>
      <c r="AI35" s="137"/>
      <c r="AJ35" s="228"/>
      <c r="AK35" s="224"/>
      <c r="AL35" s="143">
        <v>4.2</v>
      </c>
      <c r="AM35" s="145">
        <v>4.5</v>
      </c>
      <c r="AN35" s="145">
        <v>4</v>
      </c>
      <c r="AO35" s="230">
        <v>3</v>
      </c>
      <c r="AP35" s="226">
        <v>4.5999999999999996</v>
      </c>
      <c r="AQ35" s="143">
        <v>4.2</v>
      </c>
      <c r="AR35" s="145">
        <v>4.5</v>
      </c>
      <c r="AS35" s="145">
        <v>4</v>
      </c>
      <c r="AT35" s="230">
        <v>5</v>
      </c>
      <c r="AU35" s="226">
        <v>4.5999999999999996</v>
      </c>
      <c r="AV35" s="288"/>
    </row>
    <row r="36" spans="1:48" ht="48" customHeight="1">
      <c r="A36" s="32" t="s">
        <v>191</v>
      </c>
      <c r="B36" s="30" t="s">
        <v>193</v>
      </c>
      <c r="C36" s="248" t="s">
        <v>477</v>
      </c>
      <c r="D36" s="41" t="s">
        <v>422</v>
      </c>
      <c r="E36" s="161" t="s">
        <v>313</v>
      </c>
      <c r="F36" s="167" t="s">
        <v>5</v>
      </c>
      <c r="G36" s="170" t="s">
        <v>365</v>
      </c>
      <c r="H36" s="175"/>
      <c r="I36" s="183"/>
      <c r="J36" s="78"/>
      <c r="K36" s="231"/>
      <c r="L36" s="191"/>
      <c r="M36" s="234"/>
      <c r="N36" s="191"/>
      <c r="O36" s="181"/>
      <c r="P36" s="66" t="s">
        <v>336</v>
      </c>
      <c r="Q36" s="104" t="s">
        <v>1</v>
      </c>
      <c r="R36" s="238" t="s">
        <v>1</v>
      </c>
      <c r="S36" s="207">
        <v>56</v>
      </c>
      <c r="T36" s="104" t="s">
        <v>1</v>
      </c>
      <c r="U36" s="238" t="s">
        <v>1</v>
      </c>
      <c r="V36" s="207">
        <v>50.68</v>
      </c>
      <c r="W36" s="182" t="s">
        <v>3</v>
      </c>
      <c r="X36" s="64" t="s">
        <v>337</v>
      </c>
      <c r="Y36" s="104" t="s">
        <v>1</v>
      </c>
      <c r="Z36" s="235" t="s">
        <v>6</v>
      </c>
      <c r="AA36" s="192">
        <v>615</v>
      </c>
      <c r="AB36" s="235" t="s">
        <v>1</v>
      </c>
      <c r="AC36" s="192">
        <v>70.819999999999993</v>
      </c>
      <c r="AD36" s="235" t="s">
        <v>1</v>
      </c>
      <c r="AE36" s="192">
        <v>50.84</v>
      </c>
      <c r="AF36" s="182" t="s">
        <v>3</v>
      </c>
      <c r="AG36" s="128"/>
      <c r="AH36" s="137"/>
      <c r="AI36" s="137"/>
      <c r="AJ36" s="228"/>
      <c r="AK36" s="224"/>
      <c r="AL36" s="143">
        <v>3</v>
      </c>
      <c r="AM36" s="145">
        <v>3.5</v>
      </c>
      <c r="AN36" s="145">
        <v>4.3</v>
      </c>
      <c r="AO36" s="230">
        <v>3</v>
      </c>
      <c r="AP36" s="226">
        <v>4.2</v>
      </c>
      <c r="AQ36" s="143">
        <v>3</v>
      </c>
      <c r="AR36" s="145">
        <v>3.7</v>
      </c>
      <c r="AS36" s="145">
        <v>4.3</v>
      </c>
      <c r="AT36" s="230">
        <v>4.5</v>
      </c>
      <c r="AU36" s="226">
        <v>4.2</v>
      </c>
      <c r="AV36" s="288"/>
    </row>
    <row r="37" spans="1:48" ht="48" customHeight="1">
      <c r="A37" s="32" t="s">
        <v>191</v>
      </c>
      <c r="B37" s="30" t="s">
        <v>193</v>
      </c>
      <c r="C37" s="251" t="s">
        <v>28</v>
      </c>
      <c r="D37" s="41" t="s">
        <v>389</v>
      </c>
      <c r="E37" s="161" t="s">
        <v>390</v>
      </c>
      <c r="F37" s="167" t="s">
        <v>22</v>
      </c>
      <c r="G37" s="169" t="s">
        <v>335</v>
      </c>
      <c r="H37" s="70"/>
      <c r="I37" s="183"/>
      <c r="J37" s="78"/>
      <c r="K37" s="231"/>
      <c r="L37" s="191"/>
      <c r="M37" s="234"/>
      <c r="N37" s="198"/>
      <c r="O37" s="181"/>
      <c r="P37" s="66" t="s">
        <v>336</v>
      </c>
      <c r="Q37" s="104" t="s">
        <v>1</v>
      </c>
      <c r="R37" s="238" t="s">
        <v>1</v>
      </c>
      <c r="S37" s="207">
        <v>50</v>
      </c>
      <c r="T37" s="104" t="s">
        <v>1</v>
      </c>
      <c r="U37" s="238" t="s">
        <v>1</v>
      </c>
      <c r="V37" s="209">
        <v>49.8</v>
      </c>
      <c r="W37" s="182" t="s">
        <v>7</v>
      </c>
      <c r="X37" s="66" t="s">
        <v>339</v>
      </c>
      <c r="Y37" s="104" t="s">
        <v>1</v>
      </c>
      <c r="Z37" s="235" t="s">
        <v>6</v>
      </c>
      <c r="AA37" s="192">
        <v>582</v>
      </c>
      <c r="AB37" s="235" t="s">
        <v>6</v>
      </c>
      <c r="AC37" s="192">
        <v>80.78</v>
      </c>
      <c r="AD37" s="235" t="s">
        <v>1</v>
      </c>
      <c r="AE37" s="192">
        <v>52.23</v>
      </c>
      <c r="AF37" s="182" t="s">
        <v>7</v>
      </c>
      <c r="AG37" s="128"/>
      <c r="AH37" s="137"/>
      <c r="AI37" s="137"/>
      <c r="AJ37" s="228"/>
      <c r="AK37" s="224"/>
      <c r="AL37" s="143">
        <v>4.2</v>
      </c>
      <c r="AM37" s="145">
        <v>3.2</v>
      </c>
      <c r="AN37" s="145">
        <v>4.3</v>
      </c>
      <c r="AO37" s="230">
        <v>4.8</v>
      </c>
      <c r="AP37" s="226">
        <v>3.6</v>
      </c>
      <c r="AQ37" s="143">
        <v>4.2</v>
      </c>
      <c r="AR37" s="145">
        <v>3.2</v>
      </c>
      <c r="AS37" s="145">
        <v>4.3</v>
      </c>
      <c r="AT37" s="230">
        <v>5</v>
      </c>
      <c r="AU37" s="226">
        <v>4</v>
      </c>
      <c r="AV37" s="288"/>
    </row>
    <row r="38" spans="1:48" ht="48" customHeight="1">
      <c r="A38" s="32" t="s">
        <v>191</v>
      </c>
      <c r="B38" s="30" t="s">
        <v>193</v>
      </c>
      <c r="C38" s="247" t="s">
        <v>29</v>
      </c>
      <c r="D38" s="41" t="s">
        <v>392</v>
      </c>
      <c r="E38" s="161" t="s">
        <v>393</v>
      </c>
      <c r="F38" s="167" t="s">
        <v>22</v>
      </c>
      <c r="G38" s="169" t="s">
        <v>335</v>
      </c>
      <c r="H38" s="65" t="s">
        <v>340</v>
      </c>
      <c r="I38" s="186" t="s">
        <v>1</v>
      </c>
      <c r="J38" s="104" t="s">
        <v>20</v>
      </c>
      <c r="K38" s="232" t="s">
        <v>1</v>
      </c>
      <c r="L38" s="192">
        <v>550</v>
      </c>
      <c r="M38" s="235" t="s">
        <v>113</v>
      </c>
      <c r="N38" s="192">
        <v>74.81</v>
      </c>
      <c r="O38" s="182" t="s">
        <v>7</v>
      </c>
      <c r="P38" s="99" t="s">
        <v>336</v>
      </c>
      <c r="Q38" s="104" t="s">
        <v>1</v>
      </c>
      <c r="R38" s="238" t="s">
        <v>1</v>
      </c>
      <c r="S38" s="207">
        <v>30</v>
      </c>
      <c r="T38" s="104" t="s">
        <v>1</v>
      </c>
      <c r="U38" s="238" t="s">
        <v>1</v>
      </c>
      <c r="V38" s="207">
        <v>54.13</v>
      </c>
      <c r="W38" s="182" t="s">
        <v>7</v>
      </c>
      <c r="X38" s="66" t="s">
        <v>339</v>
      </c>
      <c r="Y38" s="104" t="s">
        <v>6</v>
      </c>
      <c r="Z38" s="235" t="s">
        <v>6</v>
      </c>
      <c r="AA38" s="192">
        <v>602</v>
      </c>
      <c r="AB38" s="235" t="s">
        <v>1</v>
      </c>
      <c r="AC38" s="192">
        <v>71.62</v>
      </c>
      <c r="AD38" s="235" t="s">
        <v>1</v>
      </c>
      <c r="AE38" s="192">
        <v>54.08</v>
      </c>
      <c r="AF38" s="182" t="s">
        <v>7</v>
      </c>
      <c r="AG38" s="143">
        <v>3.2</v>
      </c>
      <c r="AH38" s="145">
        <v>3.3</v>
      </c>
      <c r="AI38" s="145">
        <v>2.5</v>
      </c>
      <c r="AJ38" s="230">
        <v>3.5</v>
      </c>
      <c r="AK38" s="226">
        <v>3.6</v>
      </c>
      <c r="AL38" s="143">
        <v>3.2</v>
      </c>
      <c r="AM38" s="145">
        <v>3.3</v>
      </c>
      <c r="AN38" s="145">
        <v>2.5</v>
      </c>
      <c r="AO38" s="230">
        <v>2</v>
      </c>
      <c r="AP38" s="226">
        <v>3.6</v>
      </c>
      <c r="AQ38" s="143">
        <v>3.2</v>
      </c>
      <c r="AR38" s="145">
        <v>3.5</v>
      </c>
      <c r="AS38" s="145">
        <v>2.5</v>
      </c>
      <c r="AT38" s="230">
        <v>3.5</v>
      </c>
      <c r="AU38" s="226">
        <v>3.6</v>
      </c>
      <c r="AV38" s="287"/>
    </row>
    <row r="39" spans="1:48" ht="48" customHeight="1">
      <c r="A39" s="32" t="s">
        <v>191</v>
      </c>
      <c r="B39" s="30" t="s">
        <v>193</v>
      </c>
      <c r="C39" s="248" t="s">
        <v>463</v>
      </c>
      <c r="D39" s="243" t="s">
        <v>403</v>
      </c>
      <c r="E39" s="160" t="s">
        <v>319</v>
      </c>
      <c r="F39" s="166" t="s">
        <v>9</v>
      </c>
      <c r="G39" s="170" t="s">
        <v>365</v>
      </c>
      <c r="H39" s="70"/>
      <c r="I39" s="183"/>
      <c r="J39" s="78"/>
      <c r="K39" s="231"/>
      <c r="L39" s="191"/>
      <c r="M39" s="234"/>
      <c r="N39" s="191"/>
      <c r="O39" s="181"/>
      <c r="P39" s="66" t="s">
        <v>336</v>
      </c>
      <c r="Q39" s="200" t="s">
        <v>1</v>
      </c>
      <c r="R39" s="238" t="s">
        <v>1</v>
      </c>
      <c r="S39" s="207">
        <v>55</v>
      </c>
      <c r="T39" s="104" t="s">
        <v>1</v>
      </c>
      <c r="U39" s="238" t="s">
        <v>1</v>
      </c>
      <c r="V39" s="207">
        <v>53.06</v>
      </c>
      <c r="W39" s="194" t="s">
        <v>3</v>
      </c>
      <c r="X39" s="65" t="s">
        <v>337</v>
      </c>
      <c r="Y39" s="200" t="s">
        <v>1</v>
      </c>
      <c r="Z39" s="235" t="s">
        <v>6</v>
      </c>
      <c r="AA39" s="192">
        <v>572</v>
      </c>
      <c r="AB39" s="235" t="s">
        <v>1</v>
      </c>
      <c r="AC39" s="192">
        <v>74.540000000000006</v>
      </c>
      <c r="AD39" s="235" t="s">
        <v>1</v>
      </c>
      <c r="AE39" s="192">
        <v>48.49</v>
      </c>
      <c r="AF39" s="194" t="s">
        <v>3</v>
      </c>
      <c r="AG39" s="128"/>
      <c r="AH39" s="137"/>
      <c r="AI39" s="137"/>
      <c r="AJ39" s="228"/>
      <c r="AK39" s="224"/>
      <c r="AL39" s="222">
        <v>4.3</v>
      </c>
      <c r="AM39" s="223">
        <v>4</v>
      </c>
      <c r="AN39" s="223">
        <v>4</v>
      </c>
      <c r="AO39" s="229">
        <v>4.8</v>
      </c>
      <c r="AP39" s="225">
        <v>3.4</v>
      </c>
      <c r="AQ39" s="222">
        <v>4.3</v>
      </c>
      <c r="AR39" s="223">
        <v>4</v>
      </c>
      <c r="AS39" s="223">
        <v>4</v>
      </c>
      <c r="AT39" s="229">
        <v>5</v>
      </c>
      <c r="AU39" s="225">
        <v>3.8</v>
      </c>
      <c r="AV39" s="288"/>
    </row>
    <row r="40" spans="1:48" ht="48" customHeight="1">
      <c r="A40" s="32" t="s">
        <v>191</v>
      </c>
      <c r="B40" s="30" t="s">
        <v>193</v>
      </c>
      <c r="C40" s="251" t="s">
        <v>26</v>
      </c>
      <c r="D40" s="244" t="s">
        <v>387</v>
      </c>
      <c r="E40" s="162" t="s">
        <v>239</v>
      </c>
      <c r="F40" s="167" t="s">
        <v>22</v>
      </c>
      <c r="G40" s="169" t="s">
        <v>335</v>
      </c>
      <c r="H40" s="70"/>
      <c r="I40" s="183"/>
      <c r="J40" s="78"/>
      <c r="K40" s="231"/>
      <c r="L40" s="191"/>
      <c r="M40" s="234"/>
      <c r="N40" s="191"/>
      <c r="O40" s="181"/>
      <c r="P40" s="64" t="s">
        <v>337</v>
      </c>
      <c r="Q40" s="104" t="s">
        <v>6</v>
      </c>
      <c r="R40" s="238" t="s">
        <v>1</v>
      </c>
      <c r="S40" s="207">
        <v>42</v>
      </c>
      <c r="T40" s="104" t="s">
        <v>1</v>
      </c>
      <c r="U40" s="238" t="s">
        <v>1</v>
      </c>
      <c r="V40" s="207">
        <v>54.16</v>
      </c>
      <c r="W40" s="182" t="s">
        <v>7</v>
      </c>
      <c r="X40" s="66" t="s">
        <v>339</v>
      </c>
      <c r="Y40" s="104" t="s">
        <v>1</v>
      </c>
      <c r="Z40" s="235" t="s">
        <v>6</v>
      </c>
      <c r="AA40" s="192">
        <v>576</v>
      </c>
      <c r="AB40" s="235" t="s">
        <v>6</v>
      </c>
      <c r="AC40" s="192">
        <v>87.15</v>
      </c>
      <c r="AD40" s="235" t="s">
        <v>1</v>
      </c>
      <c r="AE40" s="199">
        <v>44.1</v>
      </c>
      <c r="AF40" s="182" t="s">
        <v>7</v>
      </c>
      <c r="AG40" s="128"/>
      <c r="AH40" s="137"/>
      <c r="AI40" s="137"/>
      <c r="AJ40" s="228"/>
      <c r="AK40" s="224"/>
      <c r="AL40" s="143">
        <v>4.3</v>
      </c>
      <c r="AM40" s="145">
        <v>3.7</v>
      </c>
      <c r="AN40" s="145">
        <v>4</v>
      </c>
      <c r="AO40" s="230">
        <v>3.5</v>
      </c>
      <c r="AP40" s="226">
        <v>4.2</v>
      </c>
      <c r="AQ40" s="143">
        <v>4.3</v>
      </c>
      <c r="AR40" s="145">
        <v>3.7</v>
      </c>
      <c r="AS40" s="145">
        <v>4</v>
      </c>
      <c r="AT40" s="230">
        <v>5</v>
      </c>
      <c r="AU40" s="226">
        <v>4.2</v>
      </c>
      <c r="AV40" s="288"/>
    </row>
    <row r="41" spans="1:48" ht="48" customHeight="1">
      <c r="A41" s="32" t="s">
        <v>191</v>
      </c>
      <c r="B41" s="30" t="s">
        <v>193</v>
      </c>
      <c r="C41" s="250" t="s">
        <v>35</v>
      </c>
      <c r="D41" s="243" t="s">
        <v>384</v>
      </c>
      <c r="E41" s="160" t="s">
        <v>239</v>
      </c>
      <c r="F41" s="166" t="s">
        <v>32</v>
      </c>
      <c r="G41" s="168" t="s">
        <v>335</v>
      </c>
      <c r="H41" s="70"/>
      <c r="I41" s="183"/>
      <c r="J41" s="78"/>
      <c r="K41" s="231"/>
      <c r="L41" s="191"/>
      <c r="M41" s="234"/>
      <c r="N41" s="191"/>
      <c r="O41" s="181"/>
      <c r="P41" s="64" t="s">
        <v>337</v>
      </c>
      <c r="Q41" s="200" t="s">
        <v>1</v>
      </c>
      <c r="R41" s="238" t="s">
        <v>1</v>
      </c>
      <c r="S41" s="207">
        <v>38</v>
      </c>
      <c r="T41" s="104" t="s">
        <v>1</v>
      </c>
      <c r="U41" s="238" t="s">
        <v>6</v>
      </c>
      <c r="V41" s="207">
        <v>61.28</v>
      </c>
      <c r="W41" s="194" t="s">
        <v>7</v>
      </c>
      <c r="X41" s="99" t="s">
        <v>339</v>
      </c>
      <c r="Y41" s="200" t="s">
        <v>1</v>
      </c>
      <c r="Z41" s="235" t="s">
        <v>6</v>
      </c>
      <c r="AA41" s="192">
        <v>566</v>
      </c>
      <c r="AB41" s="235" t="s">
        <v>6</v>
      </c>
      <c r="AC41" s="192">
        <v>80.23</v>
      </c>
      <c r="AD41" s="235" t="s">
        <v>1</v>
      </c>
      <c r="AE41" s="199">
        <v>45.7</v>
      </c>
      <c r="AF41" s="194" t="s">
        <v>7</v>
      </c>
      <c r="AG41" s="128"/>
      <c r="AH41" s="137"/>
      <c r="AI41" s="137"/>
      <c r="AJ41" s="228"/>
      <c r="AK41" s="224"/>
      <c r="AL41" s="222">
        <v>4.3</v>
      </c>
      <c r="AM41" s="223">
        <v>3.7</v>
      </c>
      <c r="AN41" s="223">
        <v>4</v>
      </c>
      <c r="AO41" s="229">
        <v>3.5</v>
      </c>
      <c r="AP41" s="225">
        <v>4.5999999999999996</v>
      </c>
      <c r="AQ41" s="222">
        <v>4.3</v>
      </c>
      <c r="AR41" s="223">
        <v>3.7</v>
      </c>
      <c r="AS41" s="223">
        <v>4</v>
      </c>
      <c r="AT41" s="229">
        <v>5</v>
      </c>
      <c r="AU41" s="225">
        <v>4.2</v>
      </c>
      <c r="AV41" s="288"/>
    </row>
    <row r="42" spans="1:48" ht="48" customHeight="1">
      <c r="A42" s="32" t="s">
        <v>191</v>
      </c>
      <c r="B42" s="30" t="s">
        <v>193</v>
      </c>
      <c r="C42" s="248" t="s">
        <v>473</v>
      </c>
      <c r="D42" s="41" t="s">
        <v>418</v>
      </c>
      <c r="E42" s="161" t="s">
        <v>239</v>
      </c>
      <c r="F42" s="167" t="s">
        <v>19</v>
      </c>
      <c r="G42" s="170" t="s">
        <v>365</v>
      </c>
      <c r="H42" s="175"/>
      <c r="I42" s="189"/>
      <c r="J42" s="78"/>
      <c r="K42" s="231"/>
      <c r="L42" s="191"/>
      <c r="M42" s="234"/>
      <c r="N42" s="191"/>
      <c r="O42" s="181"/>
      <c r="P42" s="64" t="s">
        <v>337</v>
      </c>
      <c r="Q42" s="205" t="s">
        <v>224</v>
      </c>
      <c r="R42" s="238" t="s">
        <v>1</v>
      </c>
      <c r="S42" s="207">
        <v>54</v>
      </c>
      <c r="T42" s="104" t="s">
        <v>1</v>
      </c>
      <c r="U42" s="238" t="s">
        <v>6</v>
      </c>
      <c r="V42" s="207">
        <v>55.16</v>
      </c>
      <c r="W42" s="182" t="s">
        <v>3</v>
      </c>
      <c r="X42" s="65" t="s">
        <v>337</v>
      </c>
      <c r="Y42" s="205" t="s">
        <v>224</v>
      </c>
      <c r="Z42" s="235" t="s">
        <v>6</v>
      </c>
      <c r="AA42" s="192">
        <v>635</v>
      </c>
      <c r="AB42" s="235" t="s">
        <v>1</v>
      </c>
      <c r="AC42" s="192">
        <v>59.37</v>
      </c>
      <c r="AD42" s="235" t="s">
        <v>1</v>
      </c>
      <c r="AE42" s="192">
        <v>46.76</v>
      </c>
      <c r="AF42" s="218" t="s">
        <v>221</v>
      </c>
      <c r="AG42" s="128"/>
      <c r="AH42" s="137"/>
      <c r="AI42" s="137"/>
      <c r="AJ42" s="228"/>
      <c r="AK42" s="224"/>
      <c r="AL42" s="143">
        <v>4</v>
      </c>
      <c r="AM42" s="145">
        <v>4.8</v>
      </c>
      <c r="AN42" s="145">
        <v>3.6</v>
      </c>
      <c r="AO42" s="230">
        <v>3.8</v>
      </c>
      <c r="AP42" s="226">
        <v>3.4</v>
      </c>
      <c r="AQ42" s="143">
        <v>4</v>
      </c>
      <c r="AR42" s="145">
        <v>4.8</v>
      </c>
      <c r="AS42" s="145">
        <v>3.6</v>
      </c>
      <c r="AT42" s="230">
        <v>4.3</v>
      </c>
      <c r="AU42" s="226">
        <v>3.4</v>
      </c>
      <c r="AV42" s="289" t="s">
        <v>223</v>
      </c>
    </row>
    <row r="43" spans="1:48" ht="48" customHeight="1">
      <c r="A43" s="32" t="s">
        <v>191</v>
      </c>
      <c r="B43" s="30" t="s">
        <v>193</v>
      </c>
      <c r="C43" s="251" t="s">
        <v>25</v>
      </c>
      <c r="D43" s="41" t="s">
        <v>386</v>
      </c>
      <c r="E43" s="161" t="s">
        <v>239</v>
      </c>
      <c r="F43" s="167" t="s">
        <v>22</v>
      </c>
      <c r="G43" s="169" t="s">
        <v>335</v>
      </c>
      <c r="H43" s="70"/>
      <c r="I43" s="183"/>
      <c r="J43" s="78"/>
      <c r="K43" s="231"/>
      <c r="L43" s="191"/>
      <c r="M43" s="234"/>
      <c r="N43" s="191"/>
      <c r="O43" s="181"/>
      <c r="P43" s="65" t="s">
        <v>337</v>
      </c>
      <c r="Q43" s="104" t="s">
        <v>1</v>
      </c>
      <c r="R43" s="238" t="s">
        <v>1</v>
      </c>
      <c r="S43" s="207">
        <v>35</v>
      </c>
      <c r="T43" s="104" t="s">
        <v>1</v>
      </c>
      <c r="U43" s="238" t="s">
        <v>6</v>
      </c>
      <c r="V43" s="207">
        <v>59.43</v>
      </c>
      <c r="W43" s="182" t="s">
        <v>7</v>
      </c>
      <c r="X43" s="66" t="s">
        <v>339</v>
      </c>
      <c r="Y43" s="104" t="s">
        <v>1</v>
      </c>
      <c r="Z43" s="235" t="s">
        <v>6</v>
      </c>
      <c r="AA43" s="192">
        <v>664</v>
      </c>
      <c r="AB43" s="235" t="s">
        <v>6</v>
      </c>
      <c r="AC43" s="192">
        <v>84.37</v>
      </c>
      <c r="AD43" s="235" t="s">
        <v>1</v>
      </c>
      <c r="AE43" s="192">
        <v>44.81</v>
      </c>
      <c r="AF43" s="182" t="s">
        <v>7</v>
      </c>
      <c r="AG43" s="128"/>
      <c r="AH43" s="137"/>
      <c r="AI43" s="137"/>
      <c r="AJ43" s="228"/>
      <c r="AK43" s="224"/>
      <c r="AL43" s="143">
        <v>4</v>
      </c>
      <c r="AM43" s="145">
        <v>3.7</v>
      </c>
      <c r="AN43" s="145">
        <v>3.7</v>
      </c>
      <c r="AO43" s="230">
        <v>3.8</v>
      </c>
      <c r="AP43" s="226">
        <v>4.4000000000000004</v>
      </c>
      <c r="AQ43" s="143">
        <v>4</v>
      </c>
      <c r="AR43" s="145">
        <v>3.7</v>
      </c>
      <c r="AS43" s="145">
        <v>3.7</v>
      </c>
      <c r="AT43" s="230">
        <v>4.3</v>
      </c>
      <c r="AU43" s="226">
        <v>4.4000000000000004</v>
      </c>
      <c r="AV43" s="288"/>
    </row>
    <row r="44" spans="1:48" ht="48" customHeight="1">
      <c r="A44" s="32" t="s">
        <v>191</v>
      </c>
      <c r="B44" s="30" t="s">
        <v>193</v>
      </c>
      <c r="C44" s="252" t="s">
        <v>457</v>
      </c>
      <c r="D44" s="41" t="s">
        <v>395</v>
      </c>
      <c r="E44" s="161" t="s">
        <v>396</v>
      </c>
      <c r="F44" s="167" t="s">
        <v>11</v>
      </c>
      <c r="G44" s="172" t="s">
        <v>365</v>
      </c>
      <c r="H44" s="65" t="s">
        <v>337</v>
      </c>
      <c r="I44" s="186" t="s">
        <v>1</v>
      </c>
      <c r="J44" s="104" t="s">
        <v>1</v>
      </c>
      <c r="K44" s="232" t="s">
        <v>1</v>
      </c>
      <c r="L44" s="192">
        <v>458</v>
      </c>
      <c r="M44" s="235" t="s">
        <v>113</v>
      </c>
      <c r="N44" s="192">
        <v>63.45</v>
      </c>
      <c r="O44" s="182" t="s">
        <v>7</v>
      </c>
      <c r="P44" s="64" t="s">
        <v>337</v>
      </c>
      <c r="Q44" s="104" t="s">
        <v>1</v>
      </c>
      <c r="R44" s="238" t="s">
        <v>1</v>
      </c>
      <c r="S44" s="207">
        <v>55</v>
      </c>
      <c r="T44" s="104" t="s">
        <v>1</v>
      </c>
      <c r="U44" s="238" t="s">
        <v>6</v>
      </c>
      <c r="V44" s="207">
        <v>59.36</v>
      </c>
      <c r="W44" s="182" t="s">
        <v>7</v>
      </c>
      <c r="X44" s="65" t="s">
        <v>340</v>
      </c>
      <c r="Y44" s="104" t="s">
        <v>1</v>
      </c>
      <c r="Z44" s="235" t="s">
        <v>6</v>
      </c>
      <c r="AA44" s="192">
        <v>582</v>
      </c>
      <c r="AB44" s="235" t="s">
        <v>1</v>
      </c>
      <c r="AC44" s="192">
        <v>79.739999999999995</v>
      </c>
      <c r="AD44" s="235" t="s">
        <v>1</v>
      </c>
      <c r="AE44" s="192">
        <v>46.33</v>
      </c>
      <c r="AF44" s="156" t="s">
        <v>228</v>
      </c>
      <c r="AG44" s="143">
        <v>2.2999999999999998</v>
      </c>
      <c r="AH44" s="145">
        <v>2.8</v>
      </c>
      <c r="AI44" s="145">
        <v>2.2000000000000002</v>
      </c>
      <c r="AJ44" s="230">
        <v>2.8</v>
      </c>
      <c r="AK44" s="226">
        <v>3.4</v>
      </c>
      <c r="AL44" s="143">
        <v>2.2999999999999998</v>
      </c>
      <c r="AM44" s="145">
        <v>2.8</v>
      </c>
      <c r="AN44" s="145">
        <v>2.2000000000000002</v>
      </c>
      <c r="AO44" s="230">
        <v>2.8</v>
      </c>
      <c r="AP44" s="226">
        <v>3.4</v>
      </c>
      <c r="AQ44" s="143">
        <v>2.2999999999999998</v>
      </c>
      <c r="AR44" s="145">
        <v>2.8</v>
      </c>
      <c r="AS44" s="145">
        <v>2.2000000000000002</v>
      </c>
      <c r="AT44" s="230">
        <v>2.8</v>
      </c>
      <c r="AU44" s="226">
        <v>3.4</v>
      </c>
      <c r="AV44" s="288" t="s">
        <v>199</v>
      </c>
    </row>
    <row r="45" spans="1:48" ht="48" customHeight="1">
      <c r="A45" s="32" t="s">
        <v>191</v>
      </c>
      <c r="B45" s="30" t="s">
        <v>193</v>
      </c>
      <c r="C45" s="252" t="s">
        <v>458</v>
      </c>
      <c r="D45" s="43" t="s">
        <v>397</v>
      </c>
      <c r="E45" s="163" t="s">
        <v>396</v>
      </c>
      <c r="F45" s="167" t="s">
        <v>11</v>
      </c>
      <c r="G45" s="172" t="s">
        <v>365</v>
      </c>
      <c r="H45" s="65" t="s">
        <v>337</v>
      </c>
      <c r="I45" s="186" t="s">
        <v>1</v>
      </c>
      <c r="J45" s="104" t="s">
        <v>1</v>
      </c>
      <c r="K45" s="232" t="s">
        <v>1</v>
      </c>
      <c r="L45" s="192">
        <v>461</v>
      </c>
      <c r="M45" s="235" t="s">
        <v>113</v>
      </c>
      <c r="N45" s="192">
        <v>67.489999999999995</v>
      </c>
      <c r="O45" s="182" t="s">
        <v>7</v>
      </c>
      <c r="P45" s="64" t="s">
        <v>337</v>
      </c>
      <c r="Q45" s="104" t="s">
        <v>1</v>
      </c>
      <c r="R45" s="238" t="s">
        <v>6</v>
      </c>
      <c r="S45" s="207">
        <v>61</v>
      </c>
      <c r="T45" s="104" t="s">
        <v>1</v>
      </c>
      <c r="U45" s="238" t="s">
        <v>1</v>
      </c>
      <c r="V45" s="207">
        <v>45.81</v>
      </c>
      <c r="W45" s="182" t="s">
        <v>7</v>
      </c>
      <c r="X45" s="65" t="s">
        <v>340</v>
      </c>
      <c r="Y45" s="104" t="s">
        <v>1</v>
      </c>
      <c r="Z45" s="235" t="s">
        <v>6</v>
      </c>
      <c r="AA45" s="192">
        <v>640</v>
      </c>
      <c r="AB45" s="235" t="s">
        <v>6</v>
      </c>
      <c r="AC45" s="192">
        <v>87.83</v>
      </c>
      <c r="AD45" s="235" t="s">
        <v>6</v>
      </c>
      <c r="AE45" s="192">
        <v>46.71</v>
      </c>
      <c r="AF45" s="156" t="s">
        <v>228</v>
      </c>
      <c r="AG45" s="143">
        <v>2.2999999999999998</v>
      </c>
      <c r="AH45" s="145">
        <v>2.8</v>
      </c>
      <c r="AI45" s="145">
        <v>2.4</v>
      </c>
      <c r="AJ45" s="230">
        <v>2.8</v>
      </c>
      <c r="AK45" s="226">
        <v>3.4</v>
      </c>
      <c r="AL45" s="143">
        <v>2.2999999999999998</v>
      </c>
      <c r="AM45" s="145">
        <v>2.8</v>
      </c>
      <c r="AN45" s="145">
        <v>2.4</v>
      </c>
      <c r="AO45" s="230">
        <v>2.8</v>
      </c>
      <c r="AP45" s="226">
        <v>3.4</v>
      </c>
      <c r="AQ45" s="143">
        <v>2.2999999999999998</v>
      </c>
      <c r="AR45" s="145">
        <v>2.8</v>
      </c>
      <c r="AS45" s="145">
        <v>2.4</v>
      </c>
      <c r="AT45" s="230">
        <v>2.8</v>
      </c>
      <c r="AU45" s="226">
        <v>3.4</v>
      </c>
      <c r="AV45" s="288" t="s">
        <v>199</v>
      </c>
    </row>
    <row r="46" spans="1:48" ht="48" customHeight="1">
      <c r="A46" s="32" t="s">
        <v>191</v>
      </c>
      <c r="B46" s="30" t="s">
        <v>193</v>
      </c>
      <c r="C46" s="252" t="s">
        <v>59</v>
      </c>
      <c r="D46" s="41" t="s">
        <v>400</v>
      </c>
      <c r="E46" s="161" t="s">
        <v>390</v>
      </c>
      <c r="F46" s="167" t="s">
        <v>11</v>
      </c>
      <c r="G46" s="169" t="s">
        <v>335</v>
      </c>
      <c r="H46" s="67"/>
      <c r="I46" s="183"/>
      <c r="J46" s="78"/>
      <c r="K46" s="231"/>
      <c r="L46" s="191"/>
      <c r="M46" s="234"/>
      <c r="N46" s="191"/>
      <c r="O46" s="181"/>
      <c r="P46" s="64" t="s">
        <v>337</v>
      </c>
      <c r="Q46" s="104" t="s">
        <v>1</v>
      </c>
      <c r="R46" s="238" t="s">
        <v>1</v>
      </c>
      <c r="S46" s="207">
        <v>53</v>
      </c>
      <c r="T46" s="104" t="s">
        <v>1</v>
      </c>
      <c r="U46" s="238" t="s">
        <v>6</v>
      </c>
      <c r="V46" s="207">
        <v>59.23</v>
      </c>
      <c r="W46" s="182" t="s">
        <v>7</v>
      </c>
      <c r="X46" s="66" t="s">
        <v>339</v>
      </c>
      <c r="Y46" s="104" t="s">
        <v>1</v>
      </c>
      <c r="Z46" s="235" t="s">
        <v>6</v>
      </c>
      <c r="AA46" s="192">
        <v>555</v>
      </c>
      <c r="AB46" s="235" t="s">
        <v>6</v>
      </c>
      <c r="AC46" s="192">
        <v>81.819999999999993</v>
      </c>
      <c r="AD46" s="235" t="s">
        <v>1</v>
      </c>
      <c r="AE46" s="192">
        <v>45.22</v>
      </c>
      <c r="AF46" s="182" t="s">
        <v>7</v>
      </c>
      <c r="AG46" s="128"/>
      <c r="AH46" s="137"/>
      <c r="AI46" s="137"/>
      <c r="AJ46" s="228"/>
      <c r="AK46" s="224"/>
      <c r="AL46" s="143">
        <v>4.5</v>
      </c>
      <c r="AM46" s="145">
        <v>4</v>
      </c>
      <c r="AN46" s="145">
        <v>4</v>
      </c>
      <c r="AO46" s="230">
        <v>4.8</v>
      </c>
      <c r="AP46" s="226">
        <v>3.4</v>
      </c>
      <c r="AQ46" s="143">
        <v>4.5</v>
      </c>
      <c r="AR46" s="145">
        <v>4</v>
      </c>
      <c r="AS46" s="145">
        <v>4</v>
      </c>
      <c r="AT46" s="230">
        <v>5</v>
      </c>
      <c r="AU46" s="226">
        <v>4</v>
      </c>
      <c r="AV46" s="288"/>
    </row>
    <row r="47" spans="1:48" ht="48" customHeight="1">
      <c r="A47" s="32" t="s">
        <v>191</v>
      </c>
      <c r="B47" s="30" t="s">
        <v>193</v>
      </c>
      <c r="C47" s="250" t="s">
        <v>453</v>
      </c>
      <c r="D47" s="243" t="s">
        <v>382</v>
      </c>
      <c r="E47" s="160" t="s">
        <v>318</v>
      </c>
      <c r="F47" s="166" t="s">
        <v>32</v>
      </c>
      <c r="G47" s="170" t="s">
        <v>365</v>
      </c>
      <c r="H47" s="64" t="s">
        <v>337</v>
      </c>
      <c r="I47" s="185" t="s">
        <v>1</v>
      </c>
      <c r="J47" s="104" t="s">
        <v>1</v>
      </c>
      <c r="K47" s="232" t="s">
        <v>1</v>
      </c>
      <c r="L47" s="192">
        <v>456</v>
      </c>
      <c r="M47" s="235" t="s">
        <v>120</v>
      </c>
      <c r="N47" s="192">
        <v>69.19</v>
      </c>
      <c r="O47" s="194" t="s">
        <v>7</v>
      </c>
      <c r="P47" s="64" t="s">
        <v>337</v>
      </c>
      <c r="Q47" s="200" t="s">
        <v>1</v>
      </c>
      <c r="R47" s="238" t="s">
        <v>6</v>
      </c>
      <c r="S47" s="207">
        <v>61</v>
      </c>
      <c r="T47" s="104" t="s">
        <v>1</v>
      </c>
      <c r="U47" s="238" t="s">
        <v>1</v>
      </c>
      <c r="V47" s="207">
        <v>45.27</v>
      </c>
      <c r="W47" s="194" t="s">
        <v>7</v>
      </c>
      <c r="X47" s="66" t="s">
        <v>339</v>
      </c>
      <c r="Y47" s="200" t="s">
        <v>1</v>
      </c>
      <c r="Z47" s="235" t="s">
        <v>6</v>
      </c>
      <c r="AA47" s="192">
        <v>583</v>
      </c>
      <c r="AB47" s="235" t="s">
        <v>6</v>
      </c>
      <c r="AC47" s="192">
        <v>85.86</v>
      </c>
      <c r="AD47" s="235" t="s">
        <v>1</v>
      </c>
      <c r="AE47" s="192">
        <v>51.36</v>
      </c>
      <c r="AF47" s="194" t="s">
        <v>7</v>
      </c>
      <c r="AG47" s="222">
        <v>3</v>
      </c>
      <c r="AH47" s="223">
        <v>2.8</v>
      </c>
      <c r="AI47" s="223">
        <v>2.8</v>
      </c>
      <c r="AJ47" s="229">
        <v>2.8</v>
      </c>
      <c r="AK47" s="227">
        <v>3.4</v>
      </c>
      <c r="AL47" s="222">
        <v>3</v>
      </c>
      <c r="AM47" s="223">
        <v>2.8</v>
      </c>
      <c r="AN47" s="223">
        <v>2.8</v>
      </c>
      <c r="AO47" s="229">
        <v>2.8</v>
      </c>
      <c r="AP47" s="225">
        <v>3.4</v>
      </c>
      <c r="AQ47" s="222">
        <v>3</v>
      </c>
      <c r="AR47" s="223">
        <v>2.8</v>
      </c>
      <c r="AS47" s="223">
        <v>2.8</v>
      </c>
      <c r="AT47" s="229">
        <v>2.8</v>
      </c>
      <c r="AU47" s="225">
        <v>3.8</v>
      </c>
      <c r="AV47" s="287"/>
    </row>
    <row r="48" spans="1:48" ht="48" customHeight="1">
      <c r="A48" s="32" t="s">
        <v>191</v>
      </c>
      <c r="B48" s="30" t="s">
        <v>193</v>
      </c>
      <c r="C48" s="248" t="s">
        <v>475</v>
      </c>
      <c r="D48" s="41" t="s">
        <v>421</v>
      </c>
      <c r="E48" s="161" t="s">
        <v>313</v>
      </c>
      <c r="F48" s="167" t="s">
        <v>19</v>
      </c>
      <c r="G48" s="170" t="s">
        <v>365</v>
      </c>
      <c r="H48" s="175"/>
      <c r="I48" s="183"/>
      <c r="J48" s="78"/>
      <c r="K48" s="231"/>
      <c r="L48" s="191"/>
      <c r="M48" s="234"/>
      <c r="N48" s="191"/>
      <c r="O48" s="181"/>
      <c r="P48" s="64" t="s">
        <v>337</v>
      </c>
      <c r="Q48" s="104" t="s">
        <v>1</v>
      </c>
      <c r="R48" s="238" t="s">
        <v>1</v>
      </c>
      <c r="S48" s="207">
        <v>52</v>
      </c>
      <c r="T48" s="104" t="s">
        <v>1</v>
      </c>
      <c r="U48" s="238" t="s">
        <v>6</v>
      </c>
      <c r="V48" s="207">
        <v>56.12</v>
      </c>
      <c r="W48" s="182" t="s">
        <v>3</v>
      </c>
      <c r="X48" s="64" t="s">
        <v>337</v>
      </c>
      <c r="Y48" s="104" t="s">
        <v>1</v>
      </c>
      <c r="Z48" s="235" t="s">
        <v>6</v>
      </c>
      <c r="AA48" s="192">
        <v>598</v>
      </c>
      <c r="AB48" s="235" t="s">
        <v>1</v>
      </c>
      <c r="AC48" s="192">
        <v>73.64</v>
      </c>
      <c r="AD48" s="235" t="s">
        <v>1</v>
      </c>
      <c r="AE48" s="192">
        <v>56.74</v>
      </c>
      <c r="AF48" s="182" t="s">
        <v>3</v>
      </c>
      <c r="AG48" s="128"/>
      <c r="AH48" s="137"/>
      <c r="AI48" s="137"/>
      <c r="AJ48" s="228"/>
      <c r="AK48" s="224"/>
      <c r="AL48" s="143">
        <v>4.7</v>
      </c>
      <c r="AM48" s="145">
        <v>4.8</v>
      </c>
      <c r="AN48" s="145">
        <v>4.7</v>
      </c>
      <c r="AO48" s="230">
        <v>3.8</v>
      </c>
      <c r="AP48" s="226">
        <v>4.2</v>
      </c>
      <c r="AQ48" s="143">
        <v>4.7</v>
      </c>
      <c r="AR48" s="145">
        <v>4.8</v>
      </c>
      <c r="AS48" s="145">
        <v>4.7</v>
      </c>
      <c r="AT48" s="230">
        <v>5</v>
      </c>
      <c r="AU48" s="226">
        <v>4.5999999999999996</v>
      </c>
      <c r="AV48" s="288" t="s">
        <v>361</v>
      </c>
    </row>
    <row r="49" spans="1:48" ht="48" customHeight="1">
      <c r="A49" s="32" t="s">
        <v>191</v>
      </c>
      <c r="B49" s="30" t="s">
        <v>193</v>
      </c>
      <c r="C49" s="249" t="s">
        <v>469</v>
      </c>
      <c r="D49" s="41" t="s">
        <v>414</v>
      </c>
      <c r="E49" s="161" t="s">
        <v>313</v>
      </c>
      <c r="F49" s="167" t="s">
        <v>18</v>
      </c>
      <c r="G49" s="170" t="s">
        <v>365</v>
      </c>
      <c r="H49" s="70"/>
      <c r="I49" s="184"/>
      <c r="J49" s="78"/>
      <c r="K49" s="231"/>
      <c r="L49" s="191"/>
      <c r="M49" s="234"/>
      <c r="N49" s="198"/>
      <c r="O49" s="181"/>
      <c r="P49" s="64" t="s">
        <v>337</v>
      </c>
      <c r="Q49" s="204" t="s">
        <v>6</v>
      </c>
      <c r="R49" s="238" t="s">
        <v>1</v>
      </c>
      <c r="S49" s="207">
        <v>55</v>
      </c>
      <c r="T49" s="104" t="s">
        <v>1</v>
      </c>
      <c r="U49" s="238" t="s">
        <v>1</v>
      </c>
      <c r="V49" s="209">
        <v>51.2</v>
      </c>
      <c r="W49" s="182" t="s">
        <v>3</v>
      </c>
      <c r="X49" s="66" t="s">
        <v>336</v>
      </c>
      <c r="Y49" s="204" t="s">
        <v>0</v>
      </c>
      <c r="Z49" s="235" t="s">
        <v>1</v>
      </c>
      <c r="AA49" s="192">
        <v>550</v>
      </c>
      <c r="AB49" s="235" t="s">
        <v>1</v>
      </c>
      <c r="AC49" s="192">
        <v>69.959999999999994</v>
      </c>
      <c r="AD49" s="235" t="s">
        <v>1</v>
      </c>
      <c r="AE49" s="199">
        <v>52.8</v>
      </c>
      <c r="AF49" s="182" t="s">
        <v>3</v>
      </c>
      <c r="AG49" s="128"/>
      <c r="AH49" s="137"/>
      <c r="AI49" s="137"/>
      <c r="AJ49" s="228"/>
      <c r="AK49" s="224"/>
      <c r="AL49" s="143">
        <v>4.8</v>
      </c>
      <c r="AM49" s="145">
        <v>5</v>
      </c>
      <c r="AN49" s="145">
        <v>4.3</v>
      </c>
      <c r="AO49" s="230">
        <v>4.5</v>
      </c>
      <c r="AP49" s="226">
        <v>4</v>
      </c>
      <c r="AQ49" s="143">
        <v>4.8</v>
      </c>
      <c r="AR49" s="145">
        <v>4.8</v>
      </c>
      <c r="AS49" s="145">
        <v>4.3</v>
      </c>
      <c r="AT49" s="230">
        <v>4.8</v>
      </c>
      <c r="AU49" s="226">
        <v>4</v>
      </c>
      <c r="AV49" s="288"/>
    </row>
    <row r="50" spans="1:48" ht="48" customHeight="1">
      <c r="A50" s="32" t="s">
        <v>191</v>
      </c>
      <c r="B50" s="30" t="s">
        <v>193</v>
      </c>
      <c r="C50" s="248" t="s">
        <v>470</v>
      </c>
      <c r="D50" s="41" t="s">
        <v>419</v>
      </c>
      <c r="E50" s="161" t="s">
        <v>301</v>
      </c>
      <c r="F50" s="167" t="s">
        <v>19</v>
      </c>
      <c r="G50" s="170" t="s">
        <v>365</v>
      </c>
      <c r="H50" s="175"/>
      <c r="I50" s="189"/>
      <c r="J50" s="78"/>
      <c r="K50" s="231"/>
      <c r="L50" s="191"/>
      <c r="M50" s="234"/>
      <c r="N50" s="191"/>
      <c r="O50" s="181"/>
      <c r="P50" s="66" t="s">
        <v>339</v>
      </c>
      <c r="Q50" s="205" t="s">
        <v>224</v>
      </c>
      <c r="R50" s="238" t="s">
        <v>6</v>
      </c>
      <c r="S50" s="207">
        <v>64</v>
      </c>
      <c r="T50" s="104" t="s">
        <v>1</v>
      </c>
      <c r="U50" s="238" t="s">
        <v>6</v>
      </c>
      <c r="V50" s="207">
        <v>83.67</v>
      </c>
      <c r="W50" s="182" t="s">
        <v>3</v>
      </c>
      <c r="X50" s="64" t="s">
        <v>337</v>
      </c>
      <c r="Y50" s="205" t="s">
        <v>224</v>
      </c>
      <c r="Z50" s="235" t="s">
        <v>6</v>
      </c>
      <c r="AA50" s="192">
        <v>636</v>
      </c>
      <c r="AB50" s="235" t="s">
        <v>1</v>
      </c>
      <c r="AC50" s="192">
        <v>72.02</v>
      </c>
      <c r="AD50" s="235" t="s">
        <v>1</v>
      </c>
      <c r="AE50" s="192">
        <v>50.61</v>
      </c>
      <c r="AF50" s="218" t="s">
        <v>221</v>
      </c>
      <c r="AG50" s="128"/>
      <c r="AH50" s="137"/>
      <c r="AI50" s="137"/>
      <c r="AJ50" s="228"/>
      <c r="AK50" s="224"/>
      <c r="AL50" s="143">
        <v>4.2</v>
      </c>
      <c r="AM50" s="145">
        <v>5</v>
      </c>
      <c r="AN50" s="145">
        <v>3.8</v>
      </c>
      <c r="AO50" s="230">
        <v>4.8</v>
      </c>
      <c r="AP50" s="226">
        <v>4.4000000000000004</v>
      </c>
      <c r="AQ50" s="143">
        <v>4.2</v>
      </c>
      <c r="AR50" s="145">
        <v>5</v>
      </c>
      <c r="AS50" s="145">
        <v>3.8</v>
      </c>
      <c r="AT50" s="230">
        <v>4.8</v>
      </c>
      <c r="AU50" s="226">
        <v>4.4000000000000004</v>
      </c>
      <c r="AV50" s="289" t="s">
        <v>223</v>
      </c>
    </row>
    <row r="51" spans="1:48" ht="48" customHeight="1">
      <c r="A51" s="32" t="s">
        <v>191</v>
      </c>
      <c r="B51" s="30" t="s">
        <v>193</v>
      </c>
      <c r="C51" s="255" t="s">
        <v>454</v>
      </c>
      <c r="D51" s="41" t="s">
        <v>388</v>
      </c>
      <c r="E51" s="161" t="s">
        <v>301</v>
      </c>
      <c r="F51" s="167" t="s">
        <v>22</v>
      </c>
      <c r="G51" s="170" t="s">
        <v>365</v>
      </c>
      <c r="H51" s="70"/>
      <c r="I51" s="183"/>
      <c r="J51" s="78"/>
      <c r="K51" s="231"/>
      <c r="L51" s="191"/>
      <c r="M51" s="234"/>
      <c r="N51" s="191"/>
      <c r="O51" s="181"/>
      <c r="P51" s="66" t="s">
        <v>339</v>
      </c>
      <c r="Q51" s="104" t="s">
        <v>1</v>
      </c>
      <c r="R51" s="238" t="s">
        <v>6</v>
      </c>
      <c r="S51" s="207">
        <v>61</v>
      </c>
      <c r="T51" s="104" t="s">
        <v>1</v>
      </c>
      <c r="U51" s="238" t="s">
        <v>6</v>
      </c>
      <c r="V51" s="207">
        <v>66.81</v>
      </c>
      <c r="W51" s="182" t="s">
        <v>7</v>
      </c>
      <c r="X51" s="66" t="s">
        <v>339</v>
      </c>
      <c r="Y51" s="104" t="s">
        <v>6</v>
      </c>
      <c r="Z51" s="235" t="s">
        <v>6</v>
      </c>
      <c r="AA51" s="192">
        <v>583</v>
      </c>
      <c r="AB51" s="235" t="s">
        <v>1</v>
      </c>
      <c r="AC51" s="192">
        <v>62.99</v>
      </c>
      <c r="AD51" s="235" t="s">
        <v>1</v>
      </c>
      <c r="AE51" s="192">
        <v>45.16</v>
      </c>
      <c r="AF51" s="182" t="s">
        <v>7</v>
      </c>
      <c r="AG51" s="128"/>
      <c r="AH51" s="137"/>
      <c r="AI51" s="137"/>
      <c r="AJ51" s="228"/>
      <c r="AK51" s="224"/>
      <c r="AL51" s="143">
        <v>4.5</v>
      </c>
      <c r="AM51" s="145">
        <v>4.8</v>
      </c>
      <c r="AN51" s="145">
        <v>3.8</v>
      </c>
      <c r="AO51" s="230">
        <v>5</v>
      </c>
      <c r="AP51" s="226">
        <v>4.8</v>
      </c>
      <c r="AQ51" s="143">
        <v>4.5</v>
      </c>
      <c r="AR51" s="145">
        <v>4.8</v>
      </c>
      <c r="AS51" s="145">
        <v>3.8</v>
      </c>
      <c r="AT51" s="230">
        <v>4.5</v>
      </c>
      <c r="AU51" s="226">
        <v>4.4000000000000004</v>
      </c>
      <c r="AV51" s="288"/>
    </row>
    <row r="52" spans="1:48" ht="48" customHeight="1">
      <c r="A52" s="32" t="s">
        <v>191</v>
      </c>
      <c r="B52" s="30" t="s">
        <v>193</v>
      </c>
      <c r="C52" s="249" t="s">
        <v>464</v>
      </c>
      <c r="D52" s="243" t="s">
        <v>404</v>
      </c>
      <c r="E52" s="160" t="s">
        <v>396</v>
      </c>
      <c r="F52" s="166" t="s">
        <v>9</v>
      </c>
      <c r="G52" s="170" t="s">
        <v>365</v>
      </c>
      <c r="H52" s="65" t="s">
        <v>340</v>
      </c>
      <c r="I52" s="187" t="s">
        <v>209</v>
      </c>
      <c r="J52" s="104" t="s">
        <v>20</v>
      </c>
      <c r="K52" s="232" t="s">
        <v>1</v>
      </c>
      <c r="L52" s="192">
        <v>560</v>
      </c>
      <c r="M52" s="235" t="s">
        <v>113</v>
      </c>
      <c r="N52" s="192">
        <v>70.39</v>
      </c>
      <c r="O52" s="194" t="s">
        <v>7</v>
      </c>
      <c r="P52" s="66" t="s">
        <v>339</v>
      </c>
      <c r="Q52" s="203" t="s">
        <v>226</v>
      </c>
      <c r="R52" s="238" t="s">
        <v>1</v>
      </c>
      <c r="S52" s="207">
        <v>53</v>
      </c>
      <c r="T52" s="104" t="s">
        <v>1</v>
      </c>
      <c r="U52" s="238" t="s">
        <v>6</v>
      </c>
      <c r="V52" s="207">
        <v>57.58</v>
      </c>
      <c r="W52" s="194" t="s">
        <v>7</v>
      </c>
      <c r="X52" s="66" t="s">
        <v>339</v>
      </c>
      <c r="Y52" s="203" t="s">
        <v>226</v>
      </c>
      <c r="Z52" s="235" t="s">
        <v>6</v>
      </c>
      <c r="AA52" s="192">
        <v>588</v>
      </c>
      <c r="AB52" s="235" t="s">
        <v>1</v>
      </c>
      <c r="AC52" s="192">
        <v>70.319999999999993</v>
      </c>
      <c r="AD52" s="235" t="s">
        <v>1</v>
      </c>
      <c r="AE52" s="192">
        <v>51.96</v>
      </c>
      <c r="AF52" s="194" t="s">
        <v>7</v>
      </c>
      <c r="AG52" s="222">
        <v>3.2</v>
      </c>
      <c r="AH52" s="223">
        <v>3</v>
      </c>
      <c r="AI52" s="223">
        <v>2.5</v>
      </c>
      <c r="AJ52" s="229">
        <v>3.5</v>
      </c>
      <c r="AK52" s="225">
        <v>3.4</v>
      </c>
      <c r="AL52" s="222">
        <v>3.2</v>
      </c>
      <c r="AM52" s="223">
        <v>3</v>
      </c>
      <c r="AN52" s="223">
        <v>2.5</v>
      </c>
      <c r="AO52" s="229">
        <v>2.5</v>
      </c>
      <c r="AP52" s="225">
        <v>3.4</v>
      </c>
      <c r="AQ52" s="222">
        <v>3.2</v>
      </c>
      <c r="AR52" s="223">
        <v>3</v>
      </c>
      <c r="AS52" s="223">
        <v>2.5</v>
      </c>
      <c r="AT52" s="229">
        <v>3.5</v>
      </c>
      <c r="AU52" s="225">
        <v>3.4</v>
      </c>
      <c r="AV52" s="288" t="s">
        <v>225</v>
      </c>
    </row>
    <row r="53" spans="1:48" ht="48" customHeight="1">
      <c r="A53" s="32" t="s">
        <v>191</v>
      </c>
      <c r="B53" s="30" t="s">
        <v>193</v>
      </c>
      <c r="C53" s="249" t="s">
        <v>476</v>
      </c>
      <c r="D53" s="41" t="s">
        <v>423</v>
      </c>
      <c r="E53" s="161" t="s">
        <v>239</v>
      </c>
      <c r="F53" s="167" t="s">
        <v>5</v>
      </c>
      <c r="G53" s="170" t="s">
        <v>365</v>
      </c>
      <c r="H53" s="175"/>
      <c r="I53" s="183"/>
      <c r="J53" s="78"/>
      <c r="K53" s="231"/>
      <c r="L53" s="191"/>
      <c r="M53" s="234"/>
      <c r="N53" s="191"/>
      <c r="O53" s="181"/>
      <c r="P53" s="66" t="s">
        <v>339</v>
      </c>
      <c r="Q53" s="104" t="s">
        <v>6</v>
      </c>
      <c r="R53" s="238" t="s">
        <v>1</v>
      </c>
      <c r="S53" s="207">
        <v>47</v>
      </c>
      <c r="T53" s="104" t="s">
        <v>1</v>
      </c>
      <c r="U53" s="238" t="s">
        <v>6</v>
      </c>
      <c r="V53" s="207">
        <v>55.31</v>
      </c>
      <c r="W53" s="182" t="s">
        <v>3</v>
      </c>
      <c r="X53" s="64" t="s">
        <v>337</v>
      </c>
      <c r="Y53" s="104" t="s">
        <v>1</v>
      </c>
      <c r="Z53" s="235" t="s">
        <v>6</v>
      </c>
      <c r="AA53" s="192">
        <v>657</v>
      </c>
      <c r="AB53" s="235" t="s">
        <v>1</v>
      </c>
      <c r="AC53" s="199">
        <v>77.599999999999994</v>
      </c>
      <c r="AD53" s="235" t="s">
        <v>1</v>
      </c>
      <c r="AE53" s="192">
        <v>40.64</v>
      </c>
      <c r="AF53" s="218" t="s">
        <v>210</v>
      </c>
      <c r="AG53" s="128"/>
      <c r="AH53" s="137"/>
      <c r="AI53" s="137"/>
      <c r="AJ53" s="228"/>
      <c r="AK53" s="224"/>
      <c r="AL53" s="143">
        <v>3.5</v>
      </c>
      <c r="AM53" s="145">
        <v>4.7</v>
      </c>
      <c r="AN53" s="145">
        <v>3.7</v>
      </c>
      <c r="AO53" s="230">
        <v>3</v>
      </c>
      <c r="AP53" s="226">
        <v>3.8</v>
      </c>
      <c r="AQ53" s="143">
        <v>3.5</v>
      </c>
      <c r="AR53" s="145">
        <v>4.7</v>
      </c>
      <c r="AS53" s="145">
        <v>3.7</v>
      </c>
      <c r="AT53" s="230">
        <v>3.5</v>
      </c>
      <c r="AU53" s="226">
        <v>3.4</v>
      </c>
      <c r="AV53" s="288" t="s">
        <v>362</v>
      </c>
    </row>
    <row r="54" spans="1:48" ht="48" customHeight="1">
      <c r="A54" s="32" t="s">
        <v>191</v>
      </c>
      <c r="B54" s="30" t="s">
        <v>193</v>
      </c>
      <c r="C54" s="254" t="s">
        <v>34</v>
      </c>
      <c r="D54" s="243" t="s">
        <v>383</v>
      </c>
      <c r="E54" s="160" t="s">
        <v>318</v>
      </c>
      <c r="F54" s="166" t="s">
        <v>32</v>
      </c>
      <c r="G54" s="168" t="s">
        <v>335</v>
      </c>
      <c r="H54" s="99" t="s">
        <v>339</v>
      </c>
      <c r="I54" s="185" t="s">
        <v>6</v>
      </c>
      <c r="J54" s="104" t="s">
        <v>1</v>
      </c>
      <c r="K54" s="232" t="s">
        <v>1</v>
      </c>
      <c r="L54" s="192">
        <v>571</v>
      </c>
      <c r="M54" s="235" t="s">
        <v>113</v>
      </c>
      <c r="N54" s="192">
        <v>58.81</v>
      </c>
      <c r="O54" s="194" t="s">
        <v>7</v>
      </c>
      <c r="P54" s="66" t="s">
        <v>339</v>
      </c>
      <c r="Q54" s="200" t="s">
        <v>6</v>
      </c>
      <c r="R54" s="238" t="s">
        <v>1</v>
      </c>
      <c r="S54" s="207">
        <v>22</v>
      </c>
      <c r="T54" s="104" t="s">
        <v>1</v>
      </c>
      <c r="U54" s="238" t="s">
        <v>6</v>
      </c>
      <c r="V54" s="207">
        <v>62.18</v>
      </c>
      <c r="W54" s="194" t="s">
        <v>7</v>
      </c>
      <c r="X54" s="66" t="s">
        <v>339</v>
      </c>
      <c r="Y54" s="200" t="s">
        <v>1</v>
      </c>
      <c r="Z54" s="235" t="s">
        <v>6</v>
      </c>
      <c r="AA54" s="192">
        <v>600</v>
      </c>
      <c r="AB54" s="235" t="s">
        <v>6</v>
      </c>
      <c r="AC54" s="192">
        <v>80.17</v>
      </c>
      <c r="AD54" s="235" t="s">
        <v>6</v>
      </c>
      <c r="AE54" s="192">
        <v>63.69</v>
      </c>
      <c r="AF54" s="194" t="s">
        <v>7</v>
      </c>
      <c r="AG54" s="222">
        <v>3</v>
      </c>
      <c r="AH54" s="223">
        <v>3.3</v>
      </c>
      <c r="AI54" s="223">
        <v>3.8</v>
      </c>
      <c r="AJ54" s="229">
        <v>3.8</v>
      </c>
      <c r="AK54" s="225">
        <v>3.8</v>
      </c>
      <c r="AL54" s="222">
        <v>3</v>
      </c>
      <c r="AM54" s="223">
        <v>3.3</v>
      </c>
      <c r="AN54" s="223">
        <v>3.8</v>
      </c>
      <c r="AO54" s="229">
        <v>2.8</v>
      </c>
      <c r="AP54" s="225">
        <v>3.4</v>
      </c>
      <c r="AQ54" s="222">
        <v>3</v>
      </c>
      <c r="AR54" s="223">
        <v>3.3</v>
      </c>
      <c r="AS54" s="223">
        <v>3.8</v>
      </c>
      <c r="AT54" s="229">
        <v>3.8</v>
      </c>
      <c r="AU54" s="225">
        <v>3.4</v>
      </c>
      <c r="AV54" s="287"/>
    </row>
    <row r="55" spans="1:48" ht="48" customHeight="1">
      <c r="A55" s="34" t="s">
        <v>192</v>
      </c>
      <c r="B55" s="30" t="s">
        <v>193</v>
      </c>
      <c r="C55" s="252" t="s">
        <v>8</v>
      </c>
      <c r="D55" s="41" t="s">
        <v>430</v>
      </c>
      <c r="E55" s="161" t="s">
        <v>407</v>
      </c>
      <c r="F55" s="167" t="s">
        <v>11</v>
      </c>
      <c r="G55" s="171" t="s">
        <v>207</v>
      </c>
      <c r="H55" s="152"/>
      <c r="I55" s="183"/>
      <c r="J55" s="78"/>
      <c r="K55" s="231"/>
      <c r="L55" s="191"/>
      <c r="M55" s="234"/>
      <c r="N55" s="191"/>
      <c r="O55" s="195"/>
      <c r="P55" s="68"/>
      <c r="Q55" s="78"/>
      <c r="R55" s="239"/>
      <c r="S55" s="208"/>
      <c r="T55" s="78"/>
      <c r="U55" s="239"/>
      <c r="V55" s="208"/>
      <c r="W55" s="195"/>
      <c r="X55" s="66" t="s">
        <v>339</v>
      </c>
      <c r="Y55" s="104" t="s">
        <v>6</v>
      </c>
      <c r="Z55" s="235" t="s">
        <v>6</v>
      </c>
      <c r="AA55" s="192">
        <v>603</v>
      </c>
      <c r="AB55" s="235" t="s">
        <v>1</v>
      </c>
      <c r="AC55" s="192">
        <v>60.41</v>
      </c>
      <c r="AD55" s="235" t="s">
        <v>1</v>
      </c>
      <c r="AE55" s="192">
        <v>46.31</v>
      </c>
      <c r="AF55" s="219" t="s">
        <v>7</v>
      </c>
      <c r="AG55" s="128"/>
      <c r="AH55" s="137"/>
      <c r="AI55" s="137"/>
      <c r="AJ55" s="228"/>
      <c r="AK55" s="224"/>
      <c r="AL55" s="128"/>
      <c r="AM55" s="137"/>
      <c r="AN55" s="137"/>
      <c r="AO55" s="228"/>
      <c r="AP55" s="224"/>
      <c r="AQ55" s="143">
        <v>2.5</v>
      </c>
      <c r="AR55" s="145">
        <v>3</v>
      </c>
      <c r="AS55" s="145">
        <v>3</v>
      </c>
      <c r="AT55" s="230">
        <v>2.5</v>
      </c>
      <c r="AU55" s="226">
        <v>2</v>
      </c>
      <c r="AV55" s="287"/>
    </row>
    <row r="56" spans="1:48" ht="48" customHeight="1">
      <c r="A56" s="34" t="s">
        <v>192</v>
      </c>
      <c r="B56" s="30" t="s">
        <v>193</v>
      </c>
      <c r="C56" s="248" t="s">
        <v>490</v>
      </c>
      <c r="D56" s="41" t="s">
        <v>445</v>
      </c>
      <c r="E56" s="161" t="s">
        <v>374</v>
      </c>
      <c r="F56" s="167" t="s">
        <v>5</v>
      </c>
      <c r="G56" s="170" t="s">
        <v>365</v>
      </c>
      <c r="H56" s="175"/>
      <c r="I56" s="190"/>
      <c r="J56" s="78"/>
      <c r="K56" s="231"/>
      <c r="L56" s="191"/>
      <c r="M56" s="234"/>
      <c r="N56" s="191"/>
      <c r="O56" s="197"/>
      <c r="P56" s="257"/>
      <c r="Q56" s="72"/>
      <c r="R56" s="239"/>
      <c r="S56" s="208"/>
      <c r="T56" s="78"/>
      <c r="U56" s="239"/>
      <c r="V56" s="208"/>
      <c r="W56" s="197"/>
      <c r="X56" s="64" t="s">
        <v>337</v>
      </c>
      <c r="Y56" s="75" t="s">
        <v>209</v>
      </c>
      <c r="Z56" s="235" t="s">
        <v>6</v>
      </c>
      <c r="AA56" s="192">
        <v>638</v>
      </c>
      <c r="AB56" s="235" t="s">
        <v>1</v>
      </c>
      <c r="AC56" s="199">
        <v>66.900000000000006</v>
      </c>
      <c r="AD56" s="235" t="s">
        <v>1</v>
      </c>
      <c r="AE56" s="192">
        <v>45.96</v>
      </c>
      <c r="AF56" s="218" t="s">
        <v>7</v>
      </c>
      <c r="AG56" s="128"/>
      <c r="AH56" s="137"/>
      <c r="AI56" s="137"/>
      <c r="AJ56" s="228"/>
      <c r="AK56" s="224"/>
      <c r="AL56" s="128"/>
      <c r="AM56" s="137"/>
      <c r="AN56" s="137"/>
      <c r="AO56" s="228"/>
      <c r="AP56" s="224"/>
      <c r="AQ56" s="143">
        <v>3.2</v>
      </c>
      <c r="AR56" s="145">
        <v>3</v>
      </c>
      <c r="AS56" s="145">
        <v>1.7</v>
      </c>
      <c r="AT56" s="230">
        <v>4</v>
      </c>
      <c r="AU56" s="226">
        <v>4</v>
      </c>
      <c r="AV56" s="288" t="s">
        <v>204</v>
      </c>
    </row>
    <row r="57" spans="1:48" ht="48" customHeight="1">
      <c r="A57" s="34" t="s">
        <v>192</v>
      </c>
      <c r="B57" s="30" t="s">
        <v>193</v>
      </c>
      <c r="C57" s="247" t="s">
        <v>30</v>
      </c>
      <c r="D57" s="41" t="s">
        <v>425</v>
      </c>
      <c r="E57" s="161" t="s">
        <v>319</v>
      </c>
      <c r="F57" s="167" t="s">
        <v>22</v>
      </c>
      <c r="G57" s="169" t="s">
        <v>335</v>
      </c>
      <c r="H57" s="256"/>
      <c r="I57" s="183"/>
      <c r="J57" s="78"/>
      <c r="K57" s="233"/>
      <c r="L57" s="193"/>
      <c r="M57" s="236"/>
      <c r="N57" s="193"/>
      <c r="O57" s="153"/>
      <c r="P57" s="176"/>
      <c r="Q57" s="78"/>
      <c r="R57" s="239"/>
      <c r="S57" s="208"/>
      <c r="T57" s="78"/>
      <c r="U57" s="240"/>
      <c r="V57" s="210"/>
      <c r="W57" s="153"/>
      <c r="X57" s="259" t="s">
        <v>219</v>
      </c>
      <c r="Y57" s="104" t="s">
        <v>1</v>
      </c>
      <c r="Z57" s="241" t="s">
        <v>6</v>
      </c>
      <c r="AA57" s="216">
        <v>595</v>
      </c>
      <c r="AB57" s="241" t="s">
        <v>1</v>
      </c>
      <c r="AC57" s="217">
        <v>67.400000000000006</v>
      </c>
      <c r="AD57" s="241" t="s">
        <v>1</v>
      </c>
      <c r="AE57" s="216">
        <v>38.04</v>
      </c>
      <c r="AF57" s="154" t="s">
        <v>221</v>
      </c>
      <c r="AG57" s="128"/>
      <c r="AH57" s="137"/>
      <c r="AI57" s="137"/>
      <c r="AJ57" s="228"/>
      <c r="AK57" s="224"/>
      <c r="AL57" s="128"/>
      <c r="AM57" s="137"/>
      <c r="AN57" s="137"/>
      <c r="AO57" s="228"/>
      <c r="AP57" s="224"/>
      <c r="AQ57" s="143">
        <v>3.7</v>
      </c>
      <c r="AR57" s="145">
        <v>3.3</v>
      </c>
      <c r="AS57" s="145">
        <v>4.5</v>
      </c>
      <c r="AT57" s="230">
        <v>5</v>
      </c>
      <c r="AU57" s="226">
        <v>3</v>
      </c>
      <c r="AV57" s="290" t="s">
        <v>220</v>
      </c>
    </row>
    <row r="58" spans="1:48" ht="48" customHeight="1">
      <c r="A58" s="34" t="s">
        <v>192</v>
      </c>
      <c r="B58" s="30" t="s">
        <v>193</v>
      </c>
      <c r="C58" s="248" t="s">
        <v>482</v>
      </c>
      <c r="D58" s="243" t="s">
        <v>431</v>
      </c>
      <c r="E58" s="160" t="s">
        <v>301</v>
      </c>
      <c r="F58" s="166" t="s">
        <v>9</v>
      </c>
      <c r="G58" s="170" t="s">
        <v>365</v>
      </c>
      <c r="H58" s="177"/>
      <c r="I58" s="183"/>
      <c r="J58" s="78"/>
      <c r="K58" s="231"/>
      <c r="L58" s="191"/>
      <c r="M58" s="234"/>
      <c r="N58" s="191"/>
      <c r="O58" s="196"/>
      <c r="P58" s="177"/>
      <c r="Q58" s="78"/>
      <c r="R58" s="239"/>
      <c r="S58" s="208"/>
      <c r="T58" s="78"/>
      <c r="U58" s="239"/>
      <c r="V58" s="208"/>
      <c r="W58" s="196"/>
      <c r="X58" s="261" t="s">
        <v>498</v>
      </c>
      <c r="Y58" s="200" t="s">
        <v>1</v>
      </c>
      <c r="Z58" s="235" t="s">
        <v>6</v>
      </c>
      <c r="AA58" s="192">
        <v>590</v>
      </c>
      <c r="AB58" s="235" t="s">
        <v>1</v>
      </c>
      <c r="AC58" s="192">
        <v>65.92</v>
      </c>
      <c r="AD58" s="235" t="s">
        <v>1</v>
      </c>
      <c r="AE58" s="192">
        <v>35.82</v>
      </c>
      <c r="AF58" s="220" t="s">
        <v>10</v>
      </c>
      <c r="AG58" s="128"/>
      <c r="AH58" s="137"/>
      <c r="AI58" s="137"/>
      <c r="AJ58" s="228"/>
      <c r="AK58" s="224"/>
      <c r="AL58" s="128"/>
      <c r="AM58" s="137"/>
      <c r="AN58" s="137"/>
      <c r="AO58" s="228"/>
      <c r="AP58" s="224"/>
      <c r="AQ58" s="222">
        <v>3.3</v>
      </c>
      <c r="AR58" s="223">
        <v>3.2</v>
      </c>
      <c r="AS58" s="223">
        <v>2.5</v>
      </c>
      <c r="AT58" s="229">
        <v>5</v>
      </c>
      <c r="AU58" s="225">
        <v>3</v>
      </c>
      <c r="AV58" s="288" t="s">
        <v>216</v>
      </c>
    </row>
    <row r="59" spans="1:48" ht="48" customHeight="1">
      <c r="A59" s="34" t="s">
        <v>192</v>
      </c>
      <c r="B59" s="30" t="s">
        <v>193</v>
      </c>
      <c r="C59" s="252" t="s">
        <v>480</v>
      </c>
      <c r="D59" s="41" t="s">
        <v>426</v>
      </c>
      <c r="E59" s="161" t="s">
        <v>406</v>
      </c>
      <c r="F59" s="167" t="s">
        <v>22</v>
      </c>
      <c r="G59" s="170" t="s">
        <v>365</v>
      </c>
      <c r="H59" s="176"/>
      <c r="I59" s="183"/>
      <c r="J59" s="78"/>
      <c r="K59" s="233"/>
      <c r="L59" s="193"/>
      <c r="M59" s="236"/>
      <c r="N59" s="193"/>
      <c r="O59" s="153"/>
      <c r="P59" s="176"/>
      <c r="Q59" s="78"/>
      <c r="R59" s="239"/>
      <c r="S59" s="208"/>
      <c r="T59" s="78"/>
      <c r="U59" s="240"/>
      <c r="V59" s="210"/>
      <c r="W59" s="153"/>
      <c r="X59" s="259" t="s">
        <v>219</v>
      </c>
      <c r="Y59" s="104" t="s">
        <v>1</v>
      </c>
      <c r="Z59" s="241" t="s">
        <v>6</v>
      </c>
      <c r="AA59" s="216">
        <v>592</v>
      </c>
      <c r="AB59" s="241" t="s">
        <v>1</v>
      </c>
      <c r="AC59" s="216">
        <v>66.64</v>
      </c>
      <c r="AD59" s="241" t="s">
        <v>1</v>
      </c>
      <c r="AE59" s="216">
        <v>40.57</v>
      </c>
      <c r="AF59" s="154" t="s">
        <v>221</v>
      </c>
      <c r="AG59" s="128"/>
      <c r="AH59" s="137"/>
      <c r="AI59" s="137"/>
      <c r="AJ59" s="228"/>
      <c r="AK59" s="224"/>
      <c r="AL59" s="128"/>
      <c r="AM59" s="137"/>
      <c r="AN59" s="137"/>
      <c r="AO59" s="228"/>
      <c r="AP59" s="224"/>
      <c r="AQ59" s="143">
        <v>3.5</v>
      </c>
      <c r="AR59" s="145">
        <v>3.2</v>
      </c>
      <c r="AS59" s="145">
        <v>4.5</v>
      </c>
      <c r="AT59" s="230">
        <v>5</v>
      </c>
      <c r="AU59" s="226">
        <v>3</v>
      </c>
      <c r="AV59" s="290" t="s">
        <v>220</v>
      </c>
    </row>
    <row r="60" spans="1:48" ht="48" customHeight="1">
      <c r="A60" s="34" t="s">
        <v>192</v>
      </c>
      <c r="B60" s="30" t="s">
        <v>193</v>
      </c>
      <c r="C60" s="248" t="s">
        <v>490</v>
      </c>
      <c r="D60" s="41" t="s">
        <v>448</v>
      </c>
      <c r="E60" s="161" t="s">
        <v>301</v>
      </c>
      <c r="F60" s="167" t="s">
        <v>5</v>
      </c>
      <c r="G60" s="170" t="s">
        <v>365</v>
      </c>
      <c r="H60" s="175"/>
      <c r="I60" s="190"/>
      <c r="J60" s="78"/>
      <c r="K60" s="231"/>
      <c r="L60" s="191"/>
      <c r="M60" s="234"/>
      <c r="N60" s="191"/>
      <c r="O60" s="195"/>
      <c r="P60" s="175"/>
      <c r="Q60" s="72"/>
      <c r="R60" s="239"/>
      <c r="S60" s="208"/>
      <c r="T60" s="78"/>
      <c r="U60" s="239"/>
      <c r="V60" s="208"/>
      <c r="W60" s="195"/>
      <c r="X60" s="66" t="s">
        <v>339</v>
      </c>
      <c r="Y60" s="75" t="s">
        <v>1</v>
      </c>
      <c r="Z60" s="235" t="s">
        <v>6</v>
      </c>
      <c r="AA60" s="192">
        <v>576</v>
      </c>
      <c r="AB60" s="235" t="s">
        <v>1</v>
      </c>
      <c r="AC60" s="192">
        <v>62.78</v>
      </c>
      <c r="AD60" s="235" t="s">
        <v>1</v>
      </c>
      <c r="AE60" s="192">
        <v>41.75</v>
      </c>
      <c r="AF60" s="219" t="s">
        <v>210</v>
      </c>
      <c r="AG60" s="128"/>
      <c r="AH60" s="137"/>
      <c r="AI60" s="137"/>
      <c r="AJ60" s="228"/>
      <c r="AK60" s="224"/>
      <c r="AL60" s="128"/>
      <c r="AM60" s="137"/>
      <c r="AN60" s="137"/>
      <c r="AO60" s="228"/>
      <c r="AP60" s="224"/>
      <c r="AQ60" s="143">
        <v>4.2</v>
      </c>
      <c r="AR60" s="145">
        <v>3.7</v>
      </c>
      <c r="AS60" s="145">
        <v>3.5</v>
      </c>
      <c r="AT60" s="230">
        <v>3.5</v>
      </c>
      <c r="AU60" s="226">
        <v>3</v>
      </c>
      <c r="AV60" s="288" t="s">
        <v>363</v>
      </c>
    </row>
    <row r="61" spans="1:48" ht="48" customHeight="1">
      <c r="A61" s="34" t="s">
        <v>192</v>
      </c>
      <c r="B61" s="30" t="s">
        <v>193</v>
      </c>
      <c r="C61" s="252" t="s">
        <v>481</v>
      </c>
      <c r="D61" s="41" t="s">
        <v>428</v>
      </c>
      <c r="E61" s="161" t="s">
        <v>393</v>
      </c>
      <c r="F61" s="167" t="s">
        <v>22</v>
      </c>
      <c r="G61" s="170" t="s">
        <v>365</v>
      </c>
      <c r="H61" s="176"/>
      <c r="I61" s="183"/>
      <c r="J61" s="78"/>
      <c r="K61" s="233"/>
      <c r="L61" s="193"/>
      <c r="M61" s="236"/>
      <c r="N61" s="193"/>
      <c r="O61" s="153"/>
      <c r="P61" s="176"/>
      <c r="Q61" s="78"/>
      <c r="R61" s="239"/>
      <c r="S61" s="208"/>
      <c r="T61" s="78"/>
      <c r="U61" s="240"/>
      <c r="V61" s="210"/>
      <c r="W61" s="153"/>
      <c r="X61" s="212" t="s">
        <v>219</v>
      </c>
      <c r="Y61" s="104" t="s">
        <v>1</v>
      </c>
      <c r="Z61" s="241" t="s">
        <v>1</v>
      </c>
      <c r="AA61" s="216">
        <v>520</v>
      </c>
      <c r="AB61" s="241" t="s">
        <v>1</v>
      </c>
      <c r="AC61" s="216">
        <v>66.52</v>
      </c>
      <c r="AD61" s="241" t="s">
        <v>1</v>
      </c>
      <c r="AE61" s="216">
        <v>42.02</v>
      </c>
      <c r="AF61" s="154" t="s">
        <v>221</v>
      </c>
      <c r="AG61" s="128"/>
      <c r="AH61" s="137"/>
      <c r="AI61" s="137"/>
      <c r="AJ61" s="228"/>
      <c r="AK61" s="224"/>
      <c r="AL61" s="128"/>
      <c r="AM61" s="137"/>
      <c r="AN61" s="137"/>
      <c r="AO61" s="228"/>
      <c r="AP61" s="224"/>
      <c r="AQ61" s="143">
        <v>4</v>
      </c>
      <c r="AR61" s="145">
        <v>3.2</v>
      </c>
      <c r="AS61" s="145">
        <v>2</v>
      </c>
      <c r="AT61" s="230">
        <v>4.3</v>
      </c>
      <c r="AU61" s="226">
        <v>1</v>
      </c>
      <c r="AV61" s="290" t="s">
        <v>220</v>
      </c>
    </row>
    <row r="62" spans="1:48" ht="48" customHeight="1">
      <c r="A62" s="34" t="s">
        <v>192</v>
      </c>
      <c r="B62" s="30" t="s">
        <v>193</v>
      </c>
      <c r="C62" s="248" t="s">
        <v>8</v>
      </c>
      <c r="D62" s="41" t="s">
        <v>436</v>
      </c>
      <c r="E62" s="161" t="s">
        <v>317</v>
      </c>
      <c r="F62" s="167" t="s">
        <v>4</v>
      </c>
      <c r="G62" s="171" t="s">
        <v>207</v>
      </c>
      <c r="H62" s="179"/>
      <c r="I62" s="190"/>
      <c r="J62" s="78"/>
      <c r="K62" s="231"/>
      <c r="L62" s="191"/>
      <c r="M62" s="234"/>
      <c r="N62" s="198"/>
      <c r="O62" s="195"/>
      <c r="P62" s="179"/>
      <c r="Q62" s="72"/>
      <c r="R62" s="239"/>
      <c r="S62" s="208"/>
      <c r="T62" s="78"/>
      <c r="U62" s="239"/>
      <c r="V62" s="211"/>
      <c r="W62" s="195"/>
      <c r="X62" s="65" t="s">
        <v>340</v>
      </c>
      <c r="Y62" s="75" t="s">
        <v>215</v>
      </c>
      <c r="Z62" s="235" t="s">
        <v>6</v>
      </c>
      <c r="AA62" s="192">
        <v>612</v>
      </c>
      <c r="AB62" s="235" t="s">
        <v>1</v>
      </c>
      <c r="AC62" s="192">
        <v>65.05</v>
      </c>
      <c r="AD62" s="235" t="s">
        <v>1</v>
      </c>
      <c r="AE62" s="199">
        <v>47.9</v>
      </c>
      <c r="AF62" s="219" t="s">
        <v>227</v>
      </c>
      <c r="AG62" s="128"/>
      <c r="AH62" s="137"/>
      <c r="AI62" s="137"/>
      <c r="AJ62" s="228"/>
      <c r="AK62" s="224"/>
      <c r="AL62" s="128"/>
      <c r="AM62" s="137"/>
      <c r="AN62" s="137"/>
      <c r="AO62" s="228"/>
      <c r="AP62" s="224"/>
      <c r="AQ62" s="143">
        <v>2.2999999999999998</v>
      </c>
      <c r="AR62" s="145">
        <v>1.3</v>
      </c>
      <c r="AS62" s="145">
        <v>2</v>
      </c>
      <c r="AT62" s="230">
        <v>1.3</v>
      </c>
      <c r="AU62" s="226">
        <v>2</v>
      </c>
      <c r="AV62" s="291" t="s">
        <v>214</v>
      </c>
    </row>
    <row r="63" spans="1:48" ht="48" customHeight="1">
      <c r="A63" s="34" t="s">
        <v>192</v>
      </c>
      <c r="B63" s="30" t="s">
        <v>193</v>
      </c>
      <c r="C63" s="35" t="s">
        <v>27</v>
      </c>
      <c r="D63" s="41" t="s">
        <v>424</v>
      </c>
      <c r="E63" s="161" t="s">
        <v>239</v>
      </c>
      <c r="F63" s="167" t="s">
        <v>22</v>
      </c>
      <c r="G63" s="169" t="s">
        <v>335</v>
      </c>
      <c r="H63" s="152"/>
      <c r="I63" s="183"/>
      <c r="J63" s="78"/>
      <c r="K63" s="233"/>
      <c r="L63" s="193"/>
      <c r="M63" s="236"/>
      <c r="N63" s="193"/>
      <c r="O63" s="195"/>
      <c r="P63" s="152"/>
      <c r="Q63" s="78"/>
      <c r="R63" s="239"/>
      <c r="S63" s="208"/>
      <c r="T63" s="78"/>
      <c r="U63" s="240"/>
      <c r="V63" s="210"/>
      <c r="W63" s="195"/>
      <c r="X63" s="65" t="s">
        <v>337</v>
      </c>
      <c r="Y63" s="104" t="s">
        <v>1</v>
      </c>
      <c r="Z63" s="241" t="s">
        <v>6</v>
      </c>
      <c r="AA63" s="216">
        <v>620</v>
      </c>
      <c r="AB63" s="241" t="s">
        <v>1</v>
      </c>
      <c r="AC63" s="216">
        <v>73.209999999999994</v>
      </c>
      <c r="AD63" s="241" t="s">
        <v>1</v>
      </c>
      <c r="AE63" s="216">
        <v>43.67</v>
      </c>
      <c r="AF63" s="219" t="s">
        <v>7</v>
      </c>
      <c r="AG63" s="128"/>
      <c r="AH63" s="137"/>
      <c r="AI63" s="137"/>
      <c r="AJ63" s="228"/>
      <c r="AK63" s="224"/>
      <c r="AL63" s="128"/>
      <c r="AM63" s="137"/>
      <c r="AN63" s="137"/>
      <c r="AO63" s="228"/>
      <c r="AP63" s="224"/>
      <c r="AQ63" s="143">
        <v>4.3</v>
      </c>
      <c r="AR63" s="145">
        <v>3.7</v>
      </c>
      <c r="AS63" s="145">
        <v>4.5</v>
      </c>
      <c r="AT63" s="230">
        <v>4</v>
      </c>
      <c r="AU63" s="226">
        <v>4.5999999999999996</v>
      </c>
      <c r="AV63" s="287"/>
    </row>
    <row r="64" spans="1:48" ht="48" customHeight="1">
      <c r="A64" s="34" t="s">
        <v>192</v>
      </c>
      <c r="B64" s="30" t="s">
        <v>193</v>
      </c>
      <c r="C64" s="249" t="s">
        <v>488</v>
      </c>
      <c r="D64" s="41" t="s">
        <v>441</v>
      </c>
      <c r="E64" s="161" t="s">
        <v>409</v>
      </c>
      <c r="F64" s="167" t="s">
        <v>18</v>
      </c>
      <c r="G64" s="170" t="s">
        <v>365</v>
      </c>
      <c r="H64" s="180"/>
      <c r="I64" s="190"/>
      <c r="J64" s="78"/>
      <c r="K64" s="231"/>
      <c r="L64" s="191"/>
      <c r="M64" s="234"/>
      <c r="N64" s="198"/>
      <c r="O64" s="195"/>
      <c r="P64" s="180"/>
      <c r="Q64" s="72"/>
      <c r="R64" s="239"/>
      <c r="S64" s="208"/>
      <c r="T64" s="78"/>
      <c r="U64" s="239"/>
      <c r="V64" s="211"/>
      <c r="W64" s="195"/>
      <c r="X64" s="214" t="s">
        <v>500</v>
      </c>
      <c r="Y64" s="75" t="s">
        <v>231</v>
      </c>
      <c r="Z64" s="235" t="s">
        <v>1</v>
      </c>
      <c r="AA64" s="192">
        <v>549</v>
      </c>
      <c r="AB64" s="235" t="s">
        <v>1</v>
      </c>
      <c r="AC64" s="192">
        <v>79.48</v>
      </c>
      <c r="AD64" s="235" t="s">
        <v>1</v>
      </c>
      <c r="AE64" s="199">
        <v>56.1</v>
      </c>
      <c r="AF64" s="219" t="s">
        <v>20</v>
      </c>
      <c r="AG64" s="128"/>
      <c r="AH64" s="137"/>
      <c r="AI64" s="137"/>
      <c r="AJ64" s="228"/>
      <c r="AK64" s="224"/>
      <c r="AL64" s="128"/>
      <c r="AM64" s="137"/>
      <c r="AN64" s="137"/>
      <c r="AO64" s="228"/>
      <c r="AP64" s="224"/>
      <c r="AQ64" s="143">
        <v>3</v>
      </c>
      <c r="AR64" s="145">
        <v>2.5</v>
      </c>
      <c r="AS64" s="145">
        <v>1</v>
      </c>
      <c r="AT64" s="230">
        <v>1</v>
      </c>
      <c r="AU64" s="226">
        <v>1.7</v>
      </c>
      <c r="AV64" s="292" t="s">
        <v>230</v>
      </c>
    </row>
    <row r="65" spans="1:48" ht="48" customHeight="1">
      <c r="A65" s="34" t="s">
        <v>192</v>
      </c>
      <c r="B65" s="30" t="s">
        <v>193</v>
      </c>
      <c r="C65" s="249" t="s">
        <v>8</v>
      </c>
      <c r="D65" s="41" t="s">
        <v>437</v>
      </c>
      <c r="E65" s="161" t="s">
        <v>317</v>
      </c>
      <c r="F65" s="167" t="s">
        <v>4</v>
      </c>
      <c r="G65" s="171" t="s">
        <v>207</v>
      </c>
      <c r="H65" s="175"/>
      <c r="I65" s="183"/>
      <c r="J65" s="78"/>
      <c r="K65" s="231"/>
      <c r="L65" s="191"/>
      <c r="M65" s="234"/>
      <c r="N65" s="191"/>
      <c r="O65" s="197"/>
      <c r="P65" s="175"/>
      <c r="Q65" s="78"/>
      <c r="R65" s="239"/>
      <c r="S65" s="208"/>
      <c r="T65" s="78"/>
      <c r="U65" s="239"/>
      <c r="V65" s="208"/>
      <c r="W65" s="197"/>
      <c r="X65" s="64" t="s">
        <v>337</v>
      </c>
      <c r="Y65" s="104" t="s">
        <v>1</v>
      </c>
      <c r="Z65" s="235" t="s">
        <v>6</v>
      </c>
      <c r="AA65" s="192">
        <v>616</v>
      </c>
      <c r="AB65" s="235" t="s">
        <v>1</v>
      </c>
      <c r="AC65" s="192">
        <v>69.31</v>
      </c>
      <c r="AD65" s="235" t="s">
        <v>1</v>
      </c>
      <c r="AE65" s="192">
        <v>43.38</v>
      </c>
      <c r="AF65" s="218" t="s">
        <v>7</v>
      </c>
      <c r="AG65" s="128"/>
      <c r="AH65" s="137"/>
      <c r="AI65" s="137"/>
      <c r="AJ65" s="228"/>
      <c r="AK65" s="224"/>
      <c r="AL65" s="128"/>
      <c r="AM65" s="137"/>
      <c r="AN65" s="137"/>
      <c r="AO65" s="228"/>
      <c r="AP65" s="224"/>
      <c r="AQ65" s="143">
        <v>2.2000000000000002</v>
      </c>
      <c r="AR65" s="145">
        <v>2.2999999999999998</v>
      </c>
      <c r="AS65" s="145">
        <v>3</v>
      </c>
      <c r="AT65" s="230">
        <v>3.5</v>
      </c>
      <c r="AU65" s="226">
        <v>4</v>
      </c>
      <c r="AV65" s="288"/>
    </row>
    <row r="66" spans="1:48" ht="48" customHeight="1">
      <c r="A66" s="34" t="s">
        <v>192</v>
      </c>
      <c r="B66" s="30" t="s">
        <v>193</v>
      </c>
      <c r="C66" s="249" t="s">
        <v>485</v>
      </c>
      <c r="D66" s="41" t="s">
        <v>434</v>
      </c>
      <c r="E66" s="161" t="s">
        <v>408</v>
      </c>
      <c r="F66" s="167" t="s">
        <v>4</v>
      </c>
      <c r="G66" s="170" t="s">
        <v>365</v>
      </c>
      <c r="H66" s="178"/>
      <c r="I66" s="183"/>
      <c r="J66" s="78"/>
      <c r="K66" s="231"/>
      <c r="L66" s="191"/>
      <c r="M66" s="234"/>
      <c r="N66" s="191"/>
      <c r="O66" s="197"/>
      <c r="P66" s="178"/>
      <c r="Q66" s="78"/>
      <c r="R66" s="239"/>
      <c r="S66" s="208"/>
      <c r="T66" s="78"/>
      <c r="U66" s="239"/>
      <c r="V66" s="208"/>
      <c r="W66" s="197"/>
      <c r="X66" s="260" t="s">
        <v>499</v>
      </c>
      <c r="Y66" s="104" t="s">
        <v>1</v>
      </c>
      <c r="Z66" s="235" t="s">
        <v>6</v>
      </c>
      <c r="AA66" s="192">
        <v>597</v>
      </c>
      <c r="AB66" s="235" t="s">
        <v>1</v>
      </c>
      <c r="AC66" s="192">
        <v>75.739999999999995</v>
      </c>
      <c r="AD66" s="235" t="s">
        <v>1</v>
      </c>
      <c r="AE66" s="192">
        <v>44.21</v>
      </c>
      <c r="AF66" s="218" t="s">
        <v>210</v>
      </c>
      <c r="AG66" s="128"/>
      <c r="AH66" s="137"/>
      <c r="AI66" s="137"/>
      <c r="AJ66" s="228"/>
      <c r="AK66" s="224"/>
      <c r="AL66" s="128"/>
      <c r="AM66" s="137"/>
      <c r="AN66" s="137"/>
      <c r="AO66" s="228"/>
      <c r="AP66" s="224"/>
      <c r="AQ66" s="143">
        <v>2.2000000000000002</v>
      </c>
      <c r="AR66" s="145">
        <v>2.2000000000000002</v>
      </c>
      <c r="AS66" s="145">
        <v>1</v>
      </c>
      <c r="AT66" s="230">
        <v>1</v>
      </c>
      <c r="AU66" s="226">
        <v>1</v>
      </c>
      <c r="AV66" s="292" t="s">
        <v>218</v>
      </c>
    </row>
    <row r="67" spans="1:48" ht="48" customHeight="1">
      <c r="A67" s="34" t="s">
        <v>192</v>
      </c>
      <c r="B67" s="30" t="s">
        <v>193</v>
      </c>
      <c r="C67" s="248" t="s">
        <v>8</v>
      </c>
      <c r="D67" s="41" t="s">
        <v>446</v>
      </c>
      <c r="E67" s="161" t="s">
        <v>307</v>
      </c>
      <c r="F67" s="167" t="s">
        <v>5</v>
      </c>
      <c r="G67" s="169" t="s">
        <v>195</v>
      </c>
      <c r="H67" s="175"/>
      <c r="I67" s="190"/>
      <c r="J67" s="78"/>
      <c r="K67" s="231"/>
      <c r="L67" s="191"/>
      <c r="M67" s="234"/>
      <c r="N67" s="191"/>
      <c r="O67" s="197"/>
      <c r="P67" s="257"/>
      <c r="Q67" s="72"/>
      <c r="R67" s="239"/>
      <c r="S67" s="208"/>
      <c r="T67" s="78"/>
      <c r="U67" s="239"/>
      <c r="V67" s="208"/>
      <c r="W67" s="197"/>
      <c r="X67" s="65" t="s">
        <v>337</v>
      </c>
      <c r="Y67" s="75" t="s">
        <v>1</v>
      </c>
      <c r="Z67" s="235" t="s">
        <v>6</v>
      </c>
      <c r="AA67" s="192">
        <v>566</v>
      </c>
      <c r="AB67" s="235" t="s">
        <v>1</v>
      </c>
      <c r="AC67" s="192">
        <v>67.22</v>
      </c>
      <c r="AD67" s="235" t="s">
        <v>1</v>
      </c>
      <c r="AE67" s="192">
        <v>45.32</v>
      </c>
      <c r="AF67" s="218" t="s">
        <v>7</v>
      </c>
      <c r="AG67" s="128"/>
      <c r="AH67" s="137"/>
      <c r="AI67" s="137"/>
      <c r="AJ67" s="228"/>
      <c r="AK67" s="224"/>
      <c r="AL67" s="128"/>
      <c r="AM67" s="137"/>
      <c r="AN67" s="137"/>
      <c r="AO67" s="228"/>
      <c r="AP67" s="224"/>
      <c r="AQ67" s="143">
        <v>1.8</v>
      </c>
      <c r="AR67" s="145">
        <v>2.5</v>
      </c>
      <c r="AS67" s="145">
        <v>3.2</v>
      </c>
      <c r="AT67" s="230">
        <v>4.8</v>
      </c>
      <c r="AU67" s="226">
        <v>4.4000000000000004</v>
      </c>
      <c r="AV67" s="288"/>
    </row>
    <row r="68" spans="1:48" ht="48" customHeight="1">
      <c r="A68" s="34" t="s">
        <v>192</v>
      </c>
      <c r="B68" s="30" t="s">
        <v>193</v>
      </c>
      <c r="C68" s="248" t="s">
        <v>489</v>
      </c>
      <c r="D68" s="41" t="s">
        <v>442</v>
      </c>
      <c r="E68" s="161" t="s">
        <v>410</v>
      </c>
      <c r="F68" s="167" t="s">
        <v>19</v>
      </c>
      <c r="G68" s="170" t="s">
        <v>365</v>
      </c>
      <c r="H68" s="175"/>
      <c r="I68" s="190"/>
      <c r="J68" s="78"/>
      <c r="K68" s="231"/>
      <c r="L68" s="191"/>
      <c r="M68" s="234"/>
      <c r="N68" s="191"/>
      <c r="O68" s="195"/>
      <c r="P68" s="257"/>
      <c r="Q68" s="72"/>
      <c r="R68" s="239"/>
      <c r="S68" s="208"/>
      <c r="T68" s="78"/>
      <c r="U68" s="239"/>
      <c r="V68" s="208"/>
      <c r="W68" s="195"/>
      <c r="X68" s="65" t="s">
        <v>337</v>
      </c>
      <c r="Y68" s="75" t="s">
        <v>6</v>
      </c>
      <c r="Z68" s="235" t="s">
        <v>1</v>
      </c>
      <c r="AA68" s="192">
        <v>466</v>
      </c>
      <c r="AB68" s="235" t="s">
        <v>1</v>
      </c>
      <c r="AC68" s="192">
        <v>68.64</v>
      </c>
      <c r="AD68" s="235" t="s">
        <v>1</v>
      </c>
      <c r="AE68" s="192">
        <v>38.409999999999997</v>
      </c>
      <c r="AF68" s="219" t="s">
        <v>210</v>
      </c>
      <c r="AG68" s="128"/>
      <c r="AH68" s="137"/>
      <c r="AI68" s="137"/>
      <c r="AJ68" s="228"/>
      <c r="AK68" s="224"/>
      <c r="AL68" s="128"/>
      <c r="AM68" s="137"/>
      <c r="AN68" s="137"/>
      <c r="AO68" s="228"/>
      <c r="AP68" s="224"/>
      <c r="AQ68" s="143">
        <v>2.2000000000000002</v>
      </c>
      <c r="AR68" s="145">
        <v>3.2</v>
      </c>
      <c r="AS68" s="145">
        <v>2</v>
      </c>
      <c r="AT68" s="230">
        <v>2.7</v>
      </c>
      <c r="AU68" s="226">
        <v>3</v>
      </c>
      <c r="AV68" s="288" t="s">
        <v>211</v>
      </c>
    </row>
    <row r="69" spans="1:48" ht="48" customHeight="1">
      <c r="A69" s="34" t="s">
        <v>192</v>
      </c>
      <c r="B69" s="30" t="s">
        <v>193</v>
      </c>
      <c r="C69" s="248" t="s">
        <v>483</v>
      </c>
      <c r="D69" s="243" t="s">
        <v>432</v>
      </c>
      <c r="E69" s="160" t="s">
        <v>239</v>
      </c>
      <c r="F69" s="166" t="s">
        <v>9</v>
      </c>
      <c r="G69" s="170" t="s">
        <v>365</v>
      </c>
      <c r="H69" s="152"/>
      <c r="I69" s="183"/>
      <c r="J69" s="78"/>
      <c r="K69" s="231"/>
      <c r="L69" s="191"/>
      <c r="M69" s="234"/>
      <c r="N69" s="191"/>
      <c r="O69" s="195"/>
      <c r="P69" s="152"/>
      <c r="Q69" s="78"/>
      <c r="R69" s="239"/>
      <c r="S69" s="208"/>
      <c r="T69" s="78"/>
      <c r="U69" s="239"/>
      <c r="V69" s="208"/>
      <c r="W69" s="195"/>
      <c r="X69" s="99" t="s">
        <v>339</v>
      </c>
      <c r="Y69" s="200" t="s">
        <v>6</v>
      </c>
      <c r="Z69" s="235" t="s">
        <v>6</v>
      </c>
      <c r="AA69" s="192">
        <v>648</v>
      </c>
      <c r="AB69" s="235" t="s">
        <v>1</v>
      </c>
      <c r="AC69" s="192">
        <v>74.58</v>
      </c>
      <c r="AD69" s="235" t="s">
        <v>1</v>
      </c>
      <c r="AE69" s="192">
        <v>44.92</v>
      </c>
      <c r="AF69" s="221" t="s">
        <v>7</v>
      </c>
      <c r="AG69" s="128"/>
      <c r="AH69" s="137"/>
      <c r="AI69" s="137"/>
      <c r="AJ69" s="228"/>
      <c r="AK69" s="224"/>
      <c r="AL69" s="128"/>
      <c r="AM69" s="137"/>
      <c r="AN69" s="137"/>
      <c r="AO69" s="228"/>
      <c r="AP69" s="224"/>
      <c r="AQ69" s="222">
        <v>3.3</v>
      </c>
      <c r="AR69" s="223">
        <v>2.8</v>
      </c>
      <c r="AS69" s="223">
        <v>2.7</v>
      </c>
      <c r="AT69" s="229">
        <v>2.8</v>
      </c>
      <c r="AU69" s="225">
        <v>5</v>
      </c>
      <c r="AV69" s="288"/>
    </row>
    <row r="70" spans="1:48" ht="48" customHeight="1">
      <c r="A70" s="34" t="s">
        <v>192</v>
      </c>
      <c r="B70" s="30" t="s">
        <v>193</v>
      </c>
      <c r="C70" s="252" t="s">
        <v>8</v>
      </c>
      <c r="D70" s="41" t="s">
        <v>429</v>
      </c>
      <c r="E70" s="161" t="s">
        <v>239</v>
      </c>
      <c r="F70" s="167" t="s">
        <v>11</v>
      </c>
      <c r="G70" s="169" t="s">
        <v>195</v>
      </c>
      <c r="H70" s="152"/>
      <c r="I70" s="183"/>
      <c r="J70" s="78"/>
      <c r="K70" s="231"/>
      <c r="L70" s="191"/>
      <c r="M70" s="234"/>
      <c r="N70" s="191"/>
      <c r="O70" s="195"/>
      <c r="P70" s="68"/>
      <c r="Q70" s="78"/>
      <c r="R70" s="239"/>
      <c r="S70" s="208"/>
      <c r="T70" s="78"/>
      <c r="U70" s="239"/>
      <c r="V70" s="208"/>
      <c r="W70" s="195"/>
      <c r="X70" s="99" t="s">
        <v>339</v>
      </c>
      <c r="Y70" s="104" t="s">
        <v>1</v>
      </c>
      <c r="Z70" s="235" t="s">
        <v>6</v>
      </c>
      <c r="AA70" s="192">
        <v>685</v>
      </c>
      <c r="AB70" s="235" t="s">
        <v>6</v>
      </c>
      <c r="AC70" s="192">
        <v>81.47</v>
      </c>
      <c r="AD70" s="235" t="s">
        <v>1</v>
      </c>
      <c r="AE70" s="192">
        <v>42.62</v>
      </c>
      <c r="AF70" s="219" t="s">
        <v>7</v>
      </c>
      <c r="AG70" s="128"/>
      <c r="AH70" s="137"/>
      <c r="AI70" s="137"/>
      <c r="AJ70" s="228"/>
      <c r="AK70" s="224"/>
      <c r="AL70" s="128"/>
      <c r="AM70" s="137"/>
      <c r="AN70" s="137"/>
      <c r="AO70" s="228"/>
      <c r="AP70" s="224"/>
      <c r="AQ70" s="143">
        <v>3.8</v>
      </c>
      <c r="AR70" s="145">
        <v>2.5</v>
      </c>
      <c r="AS70" s="145">
        <v>2.2999999999999998</v>
      </c>
      <c r="AT70" s="230">
        <v>5</v>
      </c>
      <c r="AU70" s="226">
        <v>4.5999999999999996</v>
      </c>
      <c r="AV70" s="287"/>
    </row>
    <row r="71" spans="1:48" ht="48" customHeight="1">
      <c r="A71" s="34" t="s">
        <v>192</v>
      </c>
      <c r="B71" s="30" t="s">
        <v>193</v>
      </c>
      <c r="C71" s="248" t="s">
        <v>490</v>
      </c>
      <c r="D71" s="41" t="s">
        <v>443</v>
      </c>
      <c r="E71" s="161" t="s">
        <v>239</v>
      </c>
      <c r="F71" s="167" t="s">
        <v>19</v>
      </c>
      <c r="G71" s="170" t="s">
        <v>365</v>
      </c>
      <c r="H71" s="175"/>
      <c r="I71" s="183"/>
      <c r="J71" s="78"/>
      <c r="K71" s="231"/>
      <c r="L71" s="191"/>
      <c r="M71" s="234"/>
      <c r="N71" s="191"/>
      <c r="O71" s="197"/>
      <c r="P71" s="175"/>
      <c r="Q71" s="78"/>
      <c r="R71" s="239"/>
      <c r="S71" s="208"/>
      <c r="T71" s="78"/>
      <c r="U71" s="239"/>
      <c r="V71" s="208"/>
      <c r="W71" s="197"/>
      <c r="X71" s="65" t="s">
        <v>337</v>
      </c>
      <c r="Y71" s="104" t="s">
        <v>1</v>
      </c>
      <c r="Z71" s="235" t="s">
        <v>6</v>
      </c>
      <c r="AA71" s="192">
        <v>579</v>
      </c>
      <c r="AB71" s="235" t="s">
        <v>1</v>
      </c>
      <c r="AC71" s="192">
        <v>61.45</v>
      </c>
      <c r="AD71" s="235" t="s">
        <v>1</v>
      </c>
      <c r="AE71" s="192">
        <v>39.72</v>
      </c>
      <c r="AF71" s="218" t="s">
        <v>7</v>
      </c>
      <c r="AG71" s="128"/>
      <c r="AH71" s="137"/>
      <c r="AI71" s="137"/>
      <c r="AJ71" s="228"/>
      <c r="AK71" s="224"/>
      <c r="AL71" s="128"/>
      <c r="AM71" s="137"/>
      <c r="AN71" s="137"/>
      <c r="AO71" s="228"/>
      <c r="AP71" s="224"/>
      <c r="AQ71" s="143">
        <v>4.2</v>
      </c>
      <c r="AR71" s="145">
        <v>4.5</v>
      </c>
      <c r="AS71" s="145">
        <v>4</v>
      </c>
      <c r="AT71" s="230">
        <v>3.5</v>
      </c>
      <c r="AU71" s="226">
        <v>3</v>
      </c>
      <c r="AV71" s="288"/>
    </row>
    <row r="72" spans="1:48" ht="48" customHeight="1">
      <c r="A72" s="34" t="s">
        <v>192</v>
      </c>
      <c r="B72" s="30" t="s">
        <v>193</v>
      </c>
      <c r="C72" s="253" t="s">
        <v>8</v>
      </c>
      <c r="D72" s="41" t="s">
        <v>439</v>
      </c>
      <c r="E72" s="161" t="s">
        <v>239</v>
      </c>
      <c r="F72" s="167" t="s">
        <v>18</v>
      </c>
      <c r="G72" s="169" t="s">
        <v>195</v>
      </c>
      <c r="H72" s="175"/>
      <c r="I72" s="183"/>
      <c r="J72" s="78"/>
      <c r="K72" s="231"/>
      <c r="L72" s="191"/>
      <c r="M72" s="234"/>
      <c r="N72" s="191"/>
      <c r="O72" s="197"/>
      <c r="P72" s="175"/>
      <c r="Q72" s="78"/>
      <c r="R72" s="239"/>
      <c r="S72" s="208"/>
      <c r="T72" s="78"/>
      <c r="U72" s="239"/>
      <c r="V72" s="208"/>
      <c r="W72" s="197"/>
      <c r="X72" s="99" t="s">
        <v>339</v>
      </c>
      <c r="Y72" s="104" t="s">
        <v>1</v>
      </c>
      <c r="Z72" s="235" t="s">
        <v>6</v>
      </c>
      <c r="AA72" s="192">
        <v>673</v>
      </c>
      <c r="AB72" s="235" t="s">
        <v>6</v>
      </c>
      <c r="AC72" s="192">
        <v>96.23</v>
      </c>
      <c r="AD72" s="235" t="s">
        <v>1</v>
      </c>
      <c r="AE72" s="192">
        <v>45.31</v>
      </c>
      <c r="AF72" s="218" t="s">
        <v>7</v>
      </c>
      <c r="AG72" s="128"/>
      <c r="AH72" s="137"/>
      <c r="AI72" s="137"/>
      <c r="AJ72" s="228"/>
      <c r="AK72" s="224"/>
      <c r="AL72" s="128"/>
      <c r="AM72" s="137"/>
      <c r="AN72" s="137"/>
      <c r="AO72" s="228"/>
      <c r="AP72" s="224"/>
      <c r="AQ72" s="143">
        <v>4</v>
      </c>
      <c r="AR72" s="145">
        <v>3.8</v>
      </c>
      <c r="AS72" s="145">
        <v>3.7</v>
      </c>
      <c r="AT72" s="230">
        <v>4.8</v>
      </c>
      <c r="AU72" s="226">
        <v>4.2</v>
      </c>
      <c r="AV72" s="288"/>
    </row>
    <row r="73" spans="1:48" ht="48" customHeight="1">
      <c r="A73" s="34" t="s">
        <v>192</v>
      </c>
      <c r="B73" s="30" t="s">
        <v>193</v>
      </c>
      <c r="C73" s="249" t="s">
        <v>484</v>
      </c>
      <c r="D73" s="243" t="s">
        <v>433</v>
      </c>
      <c r="E73" s="160" t="s">
        <v>393</v>
      </c>
      <c r="F73" s="166" t="s">
        <v>9</v>
      </c>
      <c r="G73" s="170" t="s">
        <v>365</v>
      </c>
      <c r="H73" s="177"/>
      <c r="I73" s="183"/>
      <c r="J73" s="78"/>
      <c r="K73" s="231"/>
      <c r="L73" s="191"/>
      <c r="M73" s="234"/>
      <c r="N73" s="191"/>
      <c r="O73" s="196"/>
      <c r="P73" s="177"/>
      <c r="Q73" s="78"/>
      <c r="R73" s="239"/>
      <c r="S73" s="208"/>
      <c r="T73" s="78"/>
      <c r="U73" s="239"/>
      <c r="V73" s="208"/>
      <c r="W73" s="196"/>
      <c r="X73" s="213" t="s">
        <v>498</v>
      </c>
      <c r="Y73" s="200" t="s">
        <v>1</v>
      </c>
      <c r="Z73" s="235" t="s">
        <v>6</v>
      </c>
      <c r="AA73" s="192">
        <v>611</v>
      </c>
      <c r="AB73" s="235" t="s">
        <v>1</v>
      </c>
      <c r="AC73" s="192">
        <v>54.96</v>
      </c>
      <c r="AD73" s="235" t="s">
        <v>1</v>
      </c>
      <c r="AE73" s="192">
        <v>39.869999999999997</v>
      </c>
      <c r="AF73" s="220" t="s">
        <v>10</v>
      </c>
      <c r="AG73" s="128"/>
      <c r="AH73" s="137"/>
      <c r="AI73" s="137"/>
      <c r="AJ73" s="228"/>
      <c r="AK73" s="224"/>
      <c r="AL73" s="128"/>
      <c r="AM73" s="137"/>
      <c r="AN73" s="137"/>
      <c r="AO73" s="228"/>
      <c r="AP73" s="224"/>
      <c r="AQ73" s="222">
        <v>3.2</v>
      </c>
      <c r="AR73" s="223">
        <v>2.8</v>
      </c>
      <c r="AS73" s="223">
        <v>3.5</v>
      </c>
      <c r="AT73" s="229">
        <v>4</v>
      </c>
      <c r="AU73" s="225">
        <v>3</v>
      </c>
      <c r="AV73" s="288" t="s">
        <v>216</v>
      </c>
    </row>
    <row r="74" spans="1:48" ht="48" customHeight="1">
      <c r="A74" s="34" t="s">
        <v>192</v>
      </c>
      <c r="B74" s="30" t="s">
        <v>193</v>
      </c>
      <c r="C74" s="249" t="s">
        <v>486</v>
      </c>
      <c r="D74" s="41" t="s">
        <v>435</v>
      </c>
      <c r="E74" s="161" t="s">
        <v>396</v>
      </c>
      <c r="F74" s="167" t="s">
        <v>4</v>
      </c>
      <c r="G74" s="170" t="s">
        <v>365</v>
      </c>
      <c r="H74" s="177"/>
      <c r="I74" s="183"/>
      <c r="J74" s="78"/>
      <c r="K74" s="231"/>
      <c r="L74" s="191"/>
      <c r="M74" s="234"/>
      <c r="N74" s="191"/>
      <c r="O74" s="196"/>
      <c r="P74" s="177"/>
      <c r="Q74" s="78"/>
      <c r="R74" s="239"/>
      <c r="S74" s="208"/>
      <c r="T74" s="78"/>
      <c r="U74" s="239"/>
      <c r="V74" s="208"/>
      <c r="W74" s="196"/>
      <c r="X74" s="213" t="s">
        <v>217</v>
      </c>
      <c r="Y74" s="104" t="s">
        <v>1</v>
      </c>
      <c r="Z74" s="235" t="s">
        <v>1</v>
      </c>
      <c r="AA74" s="192">
        <v>535</v>
      </c>
      <c r="AB74" s="235" t="s">
        <v>1</v>
      </c>
      <c r="AC74" s="192">
        <v>64.819999999999993</v>
      </c>
      <c r="AD74" s="235" t="s">
        <v>1</v>
      </c>
      <c r="AE74" s="192">
        <v>39.69</v>
      </c>
      <c r="AF74" s="220" t="s">
        <v>10</v>
      </c>
      <c r="AG74" s="128"/>
      <c r="AH74" s="137"/>
      <c r="AI74" s="137"/>
      <c r="AJ74" s="228"/>
      <c r="AK74" s="224"/>
      <c r="AL74" s="128"/>
      <c r="AM74" s="137"/>
      <c r="AN74" s="137"/>
      <c r="AO74" s="228"/>
      <c r="AP74" s="224"/>
      <c r="AQ74" s="143">
        <v>3.2</v>
      </c>
      <c r="AR74" s="145">
        <v>2.8</v>
      </c>
      <c r="AS74" s="145">
        <v>3.5</v>
      </c>
      <c r="AT74" s="230">
        <v>4</v>
      </c>
      <c r="AU74" s="226">
        <v>1</v>
      </c>
      <c r="AV74" s="288" t="s">
        <v>216</v>
      </c>
    </row>
    <row r="75" spans="1:48" ht="48" customHeight="1">
      <c r="A75" s="34" t="s">
        <v>192</v>
      </c>
      <c r="B75" s="30" t="s">
        <v>193</v>
      </c>
      <c r="C75" s="248" t="s">
        <v>487</v>
      </c>
      <c r="D75" s="41" t="s">
        <v>440</v>
      </c>
      <c r="E75" s="161" t="s">
        <v>396</v>
      </c>
      <c r="F75" s="167" t="s">
        <v>18</v>
      </c>
      <c r="G75" s="170" t="s">
        <v>365</v>
      </c>
      <c r="H75" s="179"/>
      <c r="I75" s="190"/>
      <c r="J75" s="78"/>
      <c r="K75" s="231"/>
      <c r="L75" s="191"/>
      <c r="M75" s="234"/>
      <c r="N75" s="191"/>
      <c r="O75" s="197"/>
      <c r="P75" s="258"/>
      <c r="Q75" s="72"/>
      <c r="R75" s="239"/>
      <c r="S75" s="208"/>
      <c r="T75" s="78"/>
      <c r="U75" s="239"/>
      <c r="V75" s="208"/>
      <c r="W75" s="197"/>
      <c r="X75" s="65" t="s">
        <v>340</v>
      </c>
      <c r="Y75" s="75" t="s">
        <v>212</v>
      </c>
      <c r="Z75" s="235" t="s">
        <v>6</v>
      </c>
      <c r="AA75" s="192">
        <v>648</v>
      </c>
      <c r="AB75" s="235" t="s">
        <v>1</v>
      </c>
      <c r="AC75" s="192">
        <v>59.77</v>
      </c>
      <c r="AD75" s="235" t="s">
        <v>1</v>
      </c>
      <c r="AE75" s="192">
        <v>42.67</v>
      </c>
      <c r="AF75" s="218" t="s">
        <v>7</v>
      </c>
      <c r="AG75" s="128"/>
      <c r="AH75" s="137"/>
      <c r="AI75" s="137"/>
      <c r="AJ75" s="228"/>
      <c r="AK75" s="224"/>
      <c r="AL75" s="128"/>
      <c r="AM75" s="137"/>
      <c r="AN75" s="137"/>
      <c r="AO75" s="228"/>
      <c r="AP75" s="224"/>
      <c r="AQ75" s="143">
        <v>3.7</v>
      </c>
      <c r="AR75" s="145">
        <v>2.7</v>
      </c>
      <c r="AS75" s="145">
        <v>2.7</v>
      </c>
      <c r="AT75" s="230">
        <v>3.5</v>
      </c>
      <c r="AU75" s="226">
        <v>3</v>
      </c>
      <c r="AV75" s="288" t="s">
        <v>213</v>
      </c>
    </row>
    <row r="76" spans="1:48" ht="48" customHeight="1">
      <c r="A76" s="34" t="s">
        <v>192</v>
      </c>
      <c r="B76" s="30" t="s">
        <v>193</v>
      </c>
      <c r="C76" s="247" t="s">
        <v>31</v>
      </c>
      <c r="D76" s="41" t="s">
        <v>427</v>
      </c>
      <c r="E76" s="161" t="s">
        <v>393</v>
      </c>
      <c r="F76" s="167" t="s">
        <v>22</v>
      </c>
      <c r="G76" s="169" t="s">
        <v>335</v>
      </c>
      <c r="H76" s="176"/>
      <c r="I76" s="183"/>
      <c r="J76" s="78"/>
      <c r="K76" s="233"/>
      <c r="L76" s="193"/>
      <c r="M76" s="236"/>
      <c r="N76" s="193"/>
      <c r="O76" s="153"/>
      <c r="P76" s="176"/>
      <c r="Q76" s="78"/>
      <c r="R76" s="239"/>
      <c r="S76" s="208"/>
      <c r="T76" s="78"/>
      <c r="U76" s="240"/>
      <c r="V76" s="210"/>
      <c r="W76" s="153"/>
      <c r="X76" s="212" t="s">
        <v>219</v>
      </c>
      <c r="Y76" s="104" t="s">
        <v>1</v>
      </c>
      <c r="Z76" s="241" t="s">
        <v>6</v>
      </c>
      <c r="AA76" s="216">
        <v>555</v>
      </c>
      <c r="AB76" s="241" t="s">
        <v>1</v>
      </c>
      <c r="AC76" s="216">
        <v>67.650000000000006</v>
      </c>
      <c r="AD76" s="241" t="s">
        <v>1</v>
      </c>
      <c r="AE76" s="216">
        <v>42.27</v>
      </c>
      <c r="AF76" s="154" t="s">
        <v>221</v>
      </c>
      <c r="AG76" s="128"/>
      <c r="AH76" s="137"/>
      <c r="AI76" s="137"/>
      <c r="AJ76" s="228"/>
      <c r="AK76" s="224"/>
      <c r="AL76" s="128"/>
      <c r="AM76" s="137"/>
      <c r="AN76" s="137"/>
      <c r="AO76" s="228"/>
      <c r="AP76" s="224"/>
      <c r="AQ76" s="143">
        <v>2.8</v>
      </c>
      <c r="AR76" s="145">
        <v>2.7</v>
      </c>
      <c r="AS76" s="145">
        <v>2</v>
      </c>
      <c r="AT76" s="230">
        <v>4</v>
      </c>
      <c r="AU76" s="226">
        <v>1</v>
      </c>
      <c r="AV76" s="290" t="s">
        <v>220</v>
      </c>
    </row>
    <row r="77" spans="1:48" ht="48" customHeight="1">
      <c r="A77" s="34" t="s">
        <v>192</v>
      </c>
      <c r="B77" s="30" t="s">
        <v>193</v>
      </c>
      <c r="C77" s="248" t="s">
        <v>8</v>
      </c>
      <c r="D77" s="41" t="s">
        <v>447</v>
      </c>
      <c r="E77" s="161" t="s">
        <v>378</v>
      </c>
      <c r="F77" s="167" t="s">
        <v>5</v>
      </c>
      <c r="G77" s="169" t="s">
        <v>195</v>
      </c>
      <c r="H77" s="175"/>
      <c r="I77" s="190"/>
      <c r="J77" s="78"/>
      <c r="K77" s="231"/>
      <c r="L77" s="191"/>
      <c r="M77" s="234"/>
      <c r="N77" s="198"/>
      <c r="O77" s="197"/>
      <c r="P77" s="175"/>
      <c r="Q77" s="72"/>
      <c r="R77" s="239"/>
      <c r="S77" s="208"/>
      <c r="T77" s="78"/>
      <c r="U77" s="239"/>
      <c r="V77" s="211"/>
      <c r="W77" s="197"/>
      <c r="X77" s="99" t="s">
        <v>339</v>
      </c>
      <c r="Y77" s="75" t="s">
        <v>1</v>
      </c>
      <c r="Z77" s="235" t="s">
        <v>6</v>
      </c>
      <c r="AA77" s="192">
        <v>675</v>
      </c>
      <c r="AB77" s="235" t="s">
        <v>1</v>
      </c>
      <c r="AC77" s="192">
        <v>71.91</v>
      </c>
      <c r="AD77" s="235" t="s">
        <v>1</v>
      </c>
      <c r="AE77" s="199">
        <v>41.7</v>
      </c>
      <c r="AF77" s="218" t="s">
        <v>7</v>
      </c>
      <c r="AG77" s="128"/>
      <c r="AH77" s="137"/>
      <c r="AI77" s="137"/>
      <c r="AJ77" s="228"/>
      <c r="AK77" s="224"/>
      <c r="AL77" s="128"/>
      <c r="AM77" s="137"/>
      <c r="AN77" s="137"/>
      <c r="AO77" s="228"/>
      <c r="AP77" s="224"/>
      <c r="AQ77" s="143">
        <v>3.3</v>
      </c>
      <c r="AR77" s="145">
        <v>3.2</v>
      </c>
      <c r="AS77" s="145">
        <v>3.3</v>
      </c>
      <c r="AT77" s="230">
        <v>4.8</v>
      </c>
      <c r="AU77" s="226">
        <v>3.6</v>
      </c>
      <c r="AV77" s="288"/>
    </row>
    <row r="78" spans="1:48" ht="48" customHeight="1">
      <c r="A78" s="34" t="s">
        <v>192</v>
      </c>
      <c r="B78" s="30" t="s">
        <v>193</v>
      </c>
      <c r="C78" s="248" t="s">
        <v>8</v>
      </c>
      <c r="D78" s="41" t="s">
        <v>444</v>
      </c>
      <c r="E78" s="161" t="s">
        <v>367</v>
      </c>
      <c r="F78" s="167" t="s">
        <v>19</v>
      </c>
      <c r="G78" s="169" t="s">
        <v>195</v>
      </c>
      <c r="H78" s="175"/>
      <c r="I78" s="190"/>
      <c r="J78" s="78"/>
      <c r="K78" s="231"/>
      <c r="L78" s="191"/>
      <c r="M78" s="234"/>
      <c r="N78" s="191"/>
      <c r="O78" s="197"/>
      <c r="P78" s="257"/>
      <c r="Q78" s="72"/>
      <c r="R78" s="239"/>
      <c r="S78" s="208"/>
      <c r="T78" s="78"/>
      <c r="U78" s="239"/>
      <c r="V78" s="208"/>
      <c r="W78" s="197"/>
      <c r="X78" s="65" t="s">
        <v>337</v>
      </c>
      <c r="Y78" s="75" t="s">
        <v>209</v>
      </c>
      <c r="Z78" s="235" t="s">
        <v>6</v>
      </c>
      <c r="AA78" s="192">
        <v>607</v>
      </c>
      <c r="AB78" s="235" t="s">
        <v>1</v>
      </c>
      <c r="AC78" s="192">
        <v>72.09</v>
      </c>
      <c r="AD78" s="235" t="s">
        <v>1</v>
      </c>
      <c r="AE78" s="192">
        <v>50.03</v>
      </c>
      <c r="AF78" s="218" t="s">
        <v>7</v>
      </c>
      <c r="AG78" s="128"/>
      <c r="AH78" s="137"/>
      <c r="AI78" s="137"/>
      <c r="AJ78" s="228"/>
      <c r="AK78" s="224"/>
      <c r="AL78" s="128"/>
      <c r="AM78" s="137"/>
      <c r="AN78" s="137"/>
      <c r="AO78" s="228"/>
      <c r="AP78" s="224"/>
      <c r="AQ78" s="143">
        <v>4.3</v>
      </c>
      <c r="AR78" s="145">
        <v>3</v>
      </c>
      <c r="AS78" s="145">
        <v>3.7</v>
      </c>
      <c r="AT78" s="230">
        <v>5</v>
      </c>
      <c r="AU78" s="226">
        <v>4.5999999999999996</v>
      </c>
      <c r="AV78" s="288" t="s">
        <v>208</v>
      </c>
    </row>
    <row r="79" spans="1:48" ht="48" customHeight="1" thickBot="1">
      <c r="A79" s="293" t="s">
        <v>192</v>
      </c>
      <c r="B79" s="294" t="s">
        <v>193</v>
      </c>
      <c r="C79" s="295" t="s">
        <v>8</v>
      </c>
      <c r="D79" s="296" t="s">
        <v>438</v>
      </c>
      <c r="E79" s="297" t="s">
        <v>367</v>
      </c>
      <c r="F79" s="298" t="s">
        <v>4</v>
      </c>
      <c r="G79" s="299" t="s">
        <v>195</v>
      </c>
      <c r="H79" s="300"/>
      <c r="I79" s="301"/>
      <c r="J79" s="302"/>
      <c r="K79" s="303"/>
      <c r="L79" s="304"/>
      <c r="M79" s="305"/>
      <c r="N79" s="304"/>
      <c r="O79" s="306"/>
      <c r="P79" s="300"/>
      <c r="Q79" s="302"/>
      <c r="R79" s="307"/>
      <c r="S79" s="308"/>
      <c r="T79" s="302"/>
      <c r="U79" s="307"/>
      <c r="V79" s="308"/>
      <c r="W79" s="306"/>
      <c r="X79" s="309" t="s">
        <v>339</v>
      </c>
      <c r="Y79" s="310" t="s">
        <v>1</v>
      </c>
      <c r="Z79" s="311" t="s">
        <v>6</v>
      </c>
      <c r="AA79" s="312">
        <v>602</v>
      </c>
      <c r="AB79" s="311" t="s">
        <v>1</v>
      </c>
      <c r="AC79" s="312">
        <v>68.010000000000005</v>
      </c>
      <c r="AD79" s="311" t="s">
        <v>6</v>
      </c>
      <c r="AE79" s="312">
        <v>60.28</v>
      </c>
      <c r="AF79" s="313" t="s">
        <v>7</v>
      </c>
      <c r="AG79" s="314"/>
      <c r="AH79" s="315"/>
      <c r="AI79" s="315"/>
      <c r="AJ79" s="316"/>
      <c r="AK79" s="317"/>
      <c r="AL79" s="314"/>
      <c r="AM79" s="315"/>
      <c r="AN79" s="315"/>
      <c r="AO79" s="316"/>
      <c r="AP79" s="317"/>
      <c r="AQ79" s="318">
        <v>5</v>
      </c>
      <c r="AR79" s="319">
        <v>3.8</v>
      </c>
      <c r="AS79" s="319">
        <v>3.7</v>
      </c>
      <c r="AT79" s="320">
        <v>5</v>
      </c>
      <c r="AU79" s="321">
        <v>4.5999999999999996</v>
      </c>
      <c r="AV79" s="322" t="s">
        <v>361</v>
      </c>
    </row>
    <row r="80" spans="1:48" ht="13.35" hidden="1" customHeight="1">
      <c r="F80"/>
      <c r="I80"/>
      <c r="J80"/>
      <c r="K80"/>
      <c r="L80"/>
      <c r="M80"/>
      <c r="N80"/>
      <c r="Q80"/>
      <c r="R80"/>
      <c r="S80"/>
      <c r="T80"/>
      <c r="U80"/>
      <c r="V80"/>
      <c r="Y80"/>
      <c r="Z80"/>
      <c r="AA80"/>
      <c r="AB80"/>
      <c r="AC80"/>
      <c r="AD80"/>
      <c r="AE80"/>
      <c r="AG80"/>
      <c r="AH80"/>
      <c r="AI80"/>
      <c r="AJ80"/>
      <c r="AK80"/>
      <c r="AL80"/>
      <c r="AM80"/>
      <c r="AN80"/>
      <c r="AO80"/>
      <c r="AP80"/>
      <c r="AQ80"/>
      <c r="AR80"/>
      <c r="AS80"/>
      <c r="AT80"/>
      <c r="AU80"/>
    </row>
    <row r="81" customFormat="1" ht="13.35" hidden="1" customHeight="1"/>
    <row r="82" customFormat="1" ht="13.35" hidden="1" customHeight="1"/>
    <row r="83" customFormat="1" ht="13.35" hidden="1" customHeight="1"/>
    <row r="84" customFormat="1" ht="13.35" hidden="1" customHeight="1"/>
    <row r="85" customFormat="1" ht="13.35" hidden="1" customHeight="1"/>
    <row r="86" customFormat="1" ht="13.35" hidden="1" customHeight="1"/>
    <row r="87" customFormat="1" ht="13.35" hidden="1" customHeight="1"/>
    <row r="88" customFormat="1" ht="13.35" hidden="1" customHeight="1"/>
    <row r="89" customFormat="1" ht="13.35" hidden="1" customHeight="1"/>
    <row r="90" customFormat="1" ht="13.35" hidden="1" customHeight="1"/>
    <row r="91" customFormat="1" ht="13.35" hidden="1" customHeight="1"/>
    <row r="92" customFormat="1" ht="13.35" hidden="1" customHeight="1"/>
    <row r="93" customFormat="1" ht="13.35" hidden="1" customHeight="1"/>
    <row r="94" customFormat="1" ht="13.35" hidden="1" customHeight="1"/>
    <row r="95" customFormat="1" ht="13.35" hidden="1" customHeight="1"/>
    <row r="96" customFormat="1" ht="13.35" hidden="1" customHeight="1"/>
    <row r="97" customFormat="1" ht="13.35" hidden="1" customHeight="1"/>
    <row r="98" customFormat="1" ht="13.35" hidden="1" customHeight="1"/>
    <row r="99" customFormat="1" ht="13.35" hidden="1" customHeight="1"/>
    <row r="100" customFormat="1" ht="13.35" hidden="1" customHeight="1"/>
    <row r="101" customFormat="1" ht="13.35" hidden="1" customHeight="1"/>
    <row r="102" customFormat="1" ht="13.35" hidden="1" customHeight="1"/>
    <row r="103" customFormat="1" ht="13.35" hidden="1" customHeight="1"/>
    <row r="104" customFormat="1" ht="13.35" hidden="1" customHeight="1"/>
    <row r="105" customFormat="1" ht="13.35" hidden="1" customHeight="1"/>
    <row r="106" customFormat="1" ht="13.35" hidden="1" customHeight="1"/>
    <row r="107" customFormat="1" ht="13.35" hidden="1" customHeight="1"/>
    <row r="108" customFormat="1" ht="13.35" hidden="1" customHeight="1"/>
    <row r="109" customFormat="1" ht="13.35" hidden="1" customHeight="1"/>
    <row r="110" customFormat="1" ht="13.35" hidden="1" customHeight="1"/>
    <row r="111" customFormat="1" ht="13.35" hidden="1" customHeight="1"/>
    <row r="112" customFormat="1" ht="13.35" hidden="1" customHeight="1"/>
    <row r="113" customFormat="1" ht="13.35" hidden="1" customHeight="1"/>
    <row r="114" customFormat="1" ht="13.35" hidden="1" customHeight="1"/>
    <row r="115" customFormat="1" ht="13.35" hidden="1" customHeight="1"/>
    <row r="116" customFormat="1" ht="13.35" hidden="1" customHeight="1"/>
    <row r="117" customFormat="1" ht="13.35" hidden="1" customHeight="1"/>
    <row r="118" customFormat="1" ht="13.35" hidden="1" customHeight="1"/>
    <row r="119" customFormat="1" ht="13.35" hidden="1" customHeight="1"/>
    <row r="120" customFormat="1" ht="13.35" hidden="1" customHeight="1"/>
    <row r="121" customFormat="1" ht="13.35" hidden="1" customHeight="1"/>
    <row r="122" customFormat="1" ht="13.35" hidden="1" customHeight="1"/>
    <row r="123" customFormat="1" ht="13.35" hidden="1" customHeight="1"/>
    <row r="124" customFormat="1" ht="13.35" hidden="1" customHeight="1"/>
    <row r="125" customFormat="1" ht="13.35" hidden="1" customHeight="1"/>
    <row r="126" customFormat="1" ht="13.35" hidden="1" customHeight="1"/>
    <row r="127" customFormat="1" ht="13.35" hidden="1" customHeight="1"/>
    <row r="128" customFormat="1" ht="13.35" hidden="1" customHeight="1"/>
    <row r="129" customFormat="1" ht="13.35" hidden="1" customHeight="1"/>
    <row r="130" customFormat="1" ht="13.35" hidden="1" customHeight="1"/>
    <row r="131" customFormat="1" ht="13.35" hidden="1" customHeight="1"/>
    <row r="132" customFormat="1" ht="13.35" hidden="1" customHeight="1"/>
    <row r="133" customFormat="1" ht="13.35" hidden="1" customHeight="1"/>
    <row r="134" customFormat="1" ht="13.35" hidden="1" customHeight="1"/>
    <row r="135" customFormat="1" ht="13.35" hidden="1" customHeight="1"/>
    <row r="136" customFormat="1" ht="13.35" hidden="1" customHeight="1"/>
    <row r="137" customFormat="1" ht="13.35" hidden="1" customHeight="1"/>
    <row r="138" customFormat="1" ht="13.35" hidden="1" customHeight="1"/>
    <row r="139" customFormat="1" ht="13.35" hidden="1" customHeight="1"/>
    <row r="140" customFormat="1" ht="13.35" hidden="1" customHeight="1"/>
    <row r="141" customFormat="1" ht="13.35" hidden="1" customHeight="1"/>
    <row r="142" customFormat="1" ht="13.35" hidden="1" customHeight="1"/>
    <row r="143" customFormat="1" ht="13.35" hidden="1" customHeight="1"/>
    <row r="144" customFormat="1" ht="13.35" hidden="1" customHeight="1"/>
    <row r="145" customFormat="1" ht="13.35" hidden="1" customHeight="1"/>
    <row r="146" customFormat="1" ht="13.35" hidden="1" customHeight="1"/>
    <row r="147" customFormat="1" ht="13.35" hidden="1" customHeight="1"/>
    <row r="148" customFormat="1" ht="13.35" hidden="1" customHeight="1"/>
    <row r="149" customFormat="1" ht="13.35" hidden="1" customHeight="1"/>
    <row r="150" customFormat="1" ht="13.35" hidden="1" customHeight="1"/>
    <row r="151" customFormat="1" ht="13.35" hidden="1" customHeight="1"/>
    <row r="152" customFormat="1" ht="13.35" hidden="1" customHeight="1"/>
    <row r="153" customFormat="1" ht="13.35" hidden="1" customHeight="1"/>
    <row r="154" customFormat="1" ht="13.35" hidden="1" customHeight="1"/>
    <row r="155" customFormat="1" ht="13.35" hidden="1" customHeight="1"/>
    <row r="156" customFormat="1" ht="13.35" hidden="1" customHeight="1"/>
    <row r="157" customFormat="1" ht="13.35" hidden="1" customHeight="1"/>
    <row r="158" customFormat="1" ht="13.35" hidden="1" customHeight="1"/>
    <row r="159" customFormat="1" ht="13.35" hidden="1" customHeight="1"/>
    <row r="160" customFormat="1" ht="13.35" hidden="1" customHeight="1"/>
    <row r="161" customFormat="1" ht="13.35" hidden="1" customHeight="1"/>
    <row r="162" customFormat="1" ht="13.35" hidden="1" customHeight="1"/>
    <row r="163" customFormat="1" ht="13.35" hidden="1" customHeight="1"/>
    <row r="164" customFormat="1" ht="13.35" hidden="1" customHeight="1"/>
    <row r="165" customFormat="1" ht="13.35" hidden="1" customHeight="1"/>
    <row r="166" customFormat="1" ht="13.35" hidden="1" customHeight="1"/>
    <row r="167" customFormat="1" ht="13.35" hidden="1" customHeight="1"/>
    <row r="168" customFormat="1" ht="13.35" hidden="1" customHeight="1"/>
    <row r="169" customFormat="1" ht="13.35" hidden="1" customHeight="1"/>
    <row r="170" customFormat="1" ht="13.35" hidden="1" customHeight="1"/>
    <row r="171" customFormat="1" ht="13.35" hidden="1" customHeight="1"/>
    <row r="172" customFormat="1" ht="13.35" hidden="1" customHeight="1"/>
    <row r="173" customFormat="1" ht="13.35" hidden="1" customHeight="1"/>
    <row r="174" customFormat="1" ht="13.35" hidden="1" customHeight="1"/>
    <row r="175" customFormat="1" ht="13.35" hidden="1" customHeight="1"/>
    <row r="176" customFormat="1" ht="13.35" hidden="1" customHeight="1"/>
    <row r="177" customFormat="1" ht="13.35" hidden="1" customHeight="1"/>
    <row r="178" customFormat="1" ht="13.35" hidden="1" customHeight="1"/>
    <row r="179" customFormat="1" ht="13.35" hidden="1" customHeight="1"/>
    <row r="180" customFormat="1" ht="13.35" hidden="1" customHeight="1"/>
    <row r="181" customFormat="1" ht="13.35" hidden="1" customHeight="1"/>
    <row r="182" customFormat="1" ht="13.35" hidden="1" customHeight="1"/>
    <row r="183" customFormat="1" ht="13.35" hidden="1" customHeight="1"/>
    <row r="184" customFormat="1" ht="13.35" hidden="1" customHeight="1"/>
    <row r="185" customFormat="1" ht="13.35" hidden="1" customHeight="1"/>
    <row r="186" customFormat="1" ht="13.35" hidden="1" customHeight="1"/>
    <row r="187" customFormat="1" ht="13.35" hidden="1" customHeight="1"/>
    <row r="188" customFormat="1" ht="13.35" hidden="1" customHeight="1"/>
    <row r="189" customFormat="1" ht="13.35" hidden="1" customHeight="1"/>
    <row r="190" customFormat="1" ht="13.35" hidden="1" customHeight="1"/>
    <row r="191" customFormat="1" ht="13.35" hidden="1" customHeight="1"/>
    <row r="192" customFormat="1" ht="13.35" hidden="1" customHeight="1"/>
    <row r="193" customFormat="1" ht="13.35" hidden="1" customHeight="1"/>
    <row r="194" customFormat="1" ht="13.35" hidden="1" customHeight="1"/>
    <row r="195" customFormat="1" ht="13.35" hidden="1" customHeight="1"/>
    <row r="196" customFormat="1" ht="13.35" hidden="1" customHeight="1"/>
    <row r="197" customFormat="1" ht="13.35" hidden="1" customHeight="1"/>
    <row r="198" customFormat="1" ht="13.35" hidden="1" customHeight="1"/>
    <row r="199" customFormat="1" ht="13.35" hidden="1" customHeight="1"/>
    <row r="200" customFormat="1" ht="13.35" hidden="1" customHeight="1"/>
    <row r="201" customFormat="1" ht="13.35" hidden="1" customHeight="1"/>
    <row r="202" customFormat="1" ht="13.35" hidden="1" customHeight="1"/>
    <row r="203" customFormat="1" ht="13.35" hidden="1" customHeight="1"/>
    <row r="204" customFormat="1" ht="13.35" hidden="1" customHeight="1"/>
    <row r="205" customFormat="1" ht="13.35" hidden="1" customHeight="1"/>
    <row r="206" customFormat="1" ht="13.35" hidden="1" customHeight="1"/>
    <row r="207" customFormat="1" ht="13.35" hidden="1" customHeight="1"/>
    <row r="208" customFormat="1" ht="13.35" hidden="1" customHeight="1"/>
    <row r="209" customFormat="1" ht="13.35" hidden="1" customHeight="1"/>
    <row r="210" customFormat="1" ht="13.35" hidden="1" customHeight="1"/>
    <row r="211" customFormat="1" ht="13.35" hidden="1" customHeight="1"/>
    <row r="212" customFormat="1" ht="13.35" hidden="1" customHeight="1"/>
    <row r="213" customFormat="1" ht="13.35" hidden="1" customHeight="1"/>
    <row r="214" customFormat="1" ht="13.35" hidden="1" customHeight="1"/>
    <row r="215" customFormat="1" ht="13.35" hidden="1" customHeight="1"/>
    <row r="216" customFormat="1" ht="13.35" hidden="1" customHeight="1"/>
    <row r="217" customFormat="1" ht="13.35" hidden="1" customHeight="1"/>
    <row r="218" customFormat="1" ht="13.35" hidden="1" customHeight="1"/>
    <row r="219" customFormat="1" ht="13.35" hidden="1" customHeight="1"/>
    <row r="220" customFormat="1" ht="13.35" hidden="1" customHeight="1"/>
    <row r="221" customFormat="1" ht="13.35" hidden="1" customHeight="1"/>
    <row r="222" customFormat="1" ht="13.35" hidden="1" customHeight="1"/>
    <row r="223" customFormat="1" ht="13.35" hidden="1" customHeight="1"/>
    <row r="224" customFormat="1" ht="13.35" hidden="1" customHeight="1"/>
    <row r="225" customFormat="1" ht="13.35" hidden="1" customHeight="1"/>
    <row r="226" customFormat="1" ht="13.35" hidden="1" customHeight="1"/>
    <row r="227" customFormat="1" ht="13.35" hidden="1" customHeight="1"/>
    <row r="228" customFormat="1" ht="13.35" hidden="1" customHeight="1"/>
    <row r="229" customFormat="1" ht="13.35" hidden="1" customHeight="1"/>
    <row r="230" customFormat="1" ht="13.35" hidden="1" customHeight="1"/>
    <row r="231" customFormat="1" ht="13.35" hidden="1" customHeight="1"/>
    <row r="232" customFormat="1" ht="13.35" hidden="1" customHeight="1"/>
    <row r="233" customFormat="1" ht="13.35" hidden="1" customHeight="1"/>
    <row r="234" customFormat="1" ht="13.35" hidden="1" customHeight="1"/>
    <row r="235" customFormat="1" ht="13.35" hidden="1" customHeight="1"/>
    <row r="236" customFormat="1" ht="13.35" hidden="1" customHeight="1"/>
    <row r="237" customFormat="1" ht="13.35" hidden="1" customHeight="1"/>
    <row r="238" customFormat="1" ht="13.35" hidden="1" customHeight="1"/>
    <row r="239" customFormat="1" ht="13.35" hidden="1" customHeight="1"/>
    <row r="240" customFormat="1" ht="13.35" hidden="1" customHeight="1"/>
    <row r="241" customFormat="1" ht="13.35" hidden="1" customHeight="1"/>
    <row r="242" customFormat="1" ht="13.35" hidden="1" customHeight="1"/>
    <row r="243" customFormat="1" ht="13.35" hidden="1" customHeight="1"/>
    <row r="244" customFormat="1" ht="13.35" hidden="1" customHeight="1"/>
    <row r="245" customFormat="1" ht="13.35" hidden="1" customHeight="1"/>
    <row r="246" customFormat="1" ht="13.35" hidden="1" customHeight="1"/>
    <row r="247" customFormat="1" ht="13.35" hidden="1" customHeight="1"/>
    <row r="248" customFormat="1" ht="13.35" hidden="1" customHeight="1"/>
    <row r="249" customFormat="1" ht="13.35" hidden="1" customHeight="1"/>
    <row r="250" customFormat="1" ht="13.35" hidden="1" customHeight="1"/>
    <row r="251" customFormat="1" ht="13.35" hidden="1" customHeight="1"/>
    <row r="252" customFormat="1" ht="13.35" hidden="1" customHeight="1"/>
    <row r="253" customFormat="1" ht="13.35" hidden="1" customHeight="1"/>
    <row r="254" customFormat="1" ht="13.35" hidden="1" customHeight="1"/>
    <row r="255" customFormat="1" ht="13.35" hidden="1" customHeight="1"/>
    <row r="256" customFormat="1" ht="13.35" hidden="1" customHeight="1"/>
    <row r="257" customFormat="1" ht="13.35" hidden="1" customHeight="1"/>
    <row r="258" customFormat="1" ht="13.35" hidden="1" customHeight="1"/>
    <row r="259" customFormat="1" ht="13.35" hidden="1" customHeight="1"/>
    <row r="260" customFormat="1" ht="13.35" hidden="1" customHeight="1"/>
    <row r="261" customFormat="1" ht="13.35" hidden="1" customHeight="1"/>
    <row r="262" customFormat="1" ht="13.35" hidden="1" customHeight="1"/>
    <row r="263" customFormat="1" ht="13.35" hidden="1" customHeight="1"/>
    <row r="264" customFormat="1" ht="13.35" hidden="1" customHeight="1"/>
    <row r="265" customFormat="1" ht="13.35" hidden="1" customHeight="1"/>
    <row r="266" customFormat="1" ht="13.35" hidden="1" customHeight="1"/>
    <row r="267" customFormat="1" ht="13.35" hidden="1" customHeight="1"/>
    <row r="268" customFormat="1" ht="13.35" hidden="1" customHeight="1"/>
    <row r="269" customFormat="1" ht="13.35" hidden="1" customHeight="1"/>
  </sheetData>
  <autoFilter ref="A5:AV79" xr:uid="{00000000-0009-0000-0000-000002000000}">
    <sortState xmlns:xlrd2="http://schemas.microsoft.com/office/spreadsheetml/2017/richdata2" ref="A7:AV79">
      <sortCondition ref="A5:A79"/>
    </sortState>
  </autoFilter>
  <mergeCells count="22">
    <mergeCell ref="AV4:AV5"/>
    <mergeCell ref="Z5:AA5"/>
    <mergeCell ref="AB5:AC5"/>
    <mergeCell ref="AD5:AE5"/>
    <mergeCell ref="A1:C1"/>
    <mergeCell ref="A4:A5"/>
    <mergeCell ref="C4:C5"/>
    <mergeCell ref="B4:B5"/>
    <mergeCell ref="AG4:AK4"/>
    <mergeCell ref="X4:AF4"/>
    <mergeCell ref="G4:G5"/>
    <mergeCell ref="F4:F5"/>
    <mergeCell ref="E4:E5"/>
    <mergeCell ref="D4:D5"/>
    <mergeCell ref="K5:L5"/>
    <mergeCell ref="M5:N5"/>
    <mergeCell ref="U5:V5"/>
    <mergeCell ref="R5:S5"/>
    <mergeCell ref="AL4:AP4"/>
    <mergeCell ref="AQ4:AU4"/>
    <mergeCell ref="H4:O4"/>
    <mergeCell ref="P4:W4"/>
  </mergeCells>
  <phoneticPr fontId="2"/>
  <printOptions horizontalCentered="1"/>
  <pageMargins left="0.27559055118110237" right="0.19685039370078741" top="0.51181102362204722" bottom="0.35433070866141736" header="0.51181102362204722" footer="0.35433070866141736"/>
  <pageSetup paperSize="9" scale="3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目次・索引</vt:lpstr>
      <vt:lpstr>2009年度以降の試験結果一覧</vt:lpstr>
      <vt:lpstr>2008年度以前の試験結果一覧</vt:lpstr>
      <vt:lpstr>'2008年度以前の試験結果一覧'!Print_Area</vt:lpstr>
      <vt:lpstr>'2009年度以降の試験結果一覧'!Print_Area</vt:lpstr>
      <vt:lpstr>'2008年度以前の試験結果一覧'!Print_Titles</vt:lpstr>
      <vt:lpstr>'2009年度以降の試験結果一覧'!Print_Titles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2018-05-30T06:56:38Z</dcterms:created>
  <dcterms:modified xsi:type="dcterms:W3CDTF">2026-01-23T07:23:36Z</dcterms:modified>
</cp:coreProperties>
</file>